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heckCompatibility="1"/>
  <mc:AlternateContent xmlns:mc="http://schemas.openxmlformats.org/markup-compatibility/2006">
    <mc:Choice Requires="x15">
      <x15ac:absPath xmlns:x15ac="http://schemas.microsoft.com/office/spreadsheetml/2010/11/ac" url="\\Bsb04\geadm$\COORDENAÇÃO DE COMPRAS\4. Bruno Viana\2 - Processos de Compras\16 - Vigilância - Porto Franco-MA\"/>
    </mc:Choice>
  </mc:AlternateContent>
  <bookViews>
    <workbookView xWindow="0" yWindow="240" windowWidth="16380" windowHeight="7950" tabRatio="805" activeTab="2"/>
  </bookViews>
  <sheets>
    <sheet name="Insumos" sheetId="30" r:id="rId1"/>
    <sheet name="Mão de Obra" sheetId="31" r:id="rId2"/>
    <sheet name="Resumo" sheetId="32" r:id="rId3"/>
  </sheets>
  <definedNames>
    <definedName name="_1Excel_BuiltIn_Print_Area_2_1" localSheetId="0">#REF!</definedName>
    <definedName name="_1Excel_BuiltIn_Print_Area_2_1" localSheetId="1">#REF!</definedName>
    <definedName name="_1Excel_BuiltIn_Print_Area_2_1" localSheetId="2">#REF!</definedName>
    <definedName name="_1Excel_BuiltIn_Print_Area_2_1">#REF!</definedName>
    <definedName name="_2Excel_BuiltIn_Print_Area_3_1_1" localSheetId="0">#REF!</definedName>
    <definedName name="_2Excel_BuiltIn_Print_Area_3_1_1" localSheetId="1">#REF!</definedName>
    <definedName name="_2Excel_BuiltIn_Print_Area_3_1_1" localSheetId="2">#REF!</definedName>
    <definedName name="_2Excel_BuiltIn_Print_Area_3_1_1">#REF!</definedName>
    <definedName name="_xlnm.Print_Area" localSheetId="0">Insumos!$A$1:$G$33</definedName>
    <definedName name="_xlnm.Print_Area" localSheetId="1">'Mão de Obra'!$A$1:$K$182</definedName>
    <definedName name="_xlnm.Print_Area" localSheetId="2">Resumo!$A$1:$J$16</definedName>
    <definedName name="d">#REF!</definedName>
    <definedName name="Excel_BuiltIn_Print_Area_1" localSheetId="0">Insumos!$A$1:$G$31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Excel_BuiltIn_Print_Area_10_1" localSheetId="0">#REF!</definedName>
    <definedName name="Excel_BuiltIn_Print_Area_10_1" localSheetId="1">#REF!</definedName>
    <definedName name="Excel_BuiltIn_Print_Area_10_1" localSheetId="2">#REF!</definedName>
    <definedName name="Excel_BuiltIn_Print_Area_10_1">#REF!</definedName>
    <definedName name="Excel_BuiltIn_Print_Area_11" localSheetId="0">#REF!</definedName>
    <definedName name="Excel_BuiltIn_Print_Area_11" localSheetId="1">#REF!</definedName>
    <definedName name="Excel_BuiltIn_Print_Area_11" localSheetId="2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">#REF!</definedName>
    <definedName name="Excel_BuiltIn_Print_Area_17">#REF!</definedName>
    <definedName name="Excel_BuiltIn_Print_Area_2_1" localSheetId="0">#REF!</definedName>
    <definedName name="Excel_BuiltIn_Print_Area_2_1" localSheetId="1">'Mão de Obra'!$A$1:$I$182</definedName>
    <definedName name="Excel_BuiltIn_Print_Area_2_1" localSheetId="2">#REF!</definedName>
    <definedName name="Excel_BuiltIn_Print_Area_2_1">#REF!</definedName>
    <definedName name="Excel_BuiltIn_Print_Area_2_1_1" localSheetId="0">#REF!</definedName>
    <definedName name="Excel_BuiltIn_Print_Area_2_1_1" localSheetId="1">#REF!</definedName>
    <definedName name="Excel_BuiltIn_Print_Area_2_1_1" localSheetId="2">#REF!</definedName>
    <definedName name="Excel_BuiltIn_Print_Area_2_1_1">#REF!</definedName>
    <definedName name="Excel_BuiltIn_Print_Area_20" localSheetId="0">#REF!</definedName>
    <definedName name="Excel_BuiltIn_Print_Area_20" localSheetId="1">#REF!</definedName>
    <definedName name="Excel_BuiltIn_Print_Area_20" localSheetId="2">#REF!</definedName>
    <definedName name="Excel_BuiltIn_Print_Area_20">#REF!</definedName>
    <definedName name="Excel_BuiltIn_Print_Area_23">#REF!</definedName>
    <definedName name="Excel_BuiltIn_Print_Area_26">#REF!</definedName>
    <definedName name="Excel_BuiltIn_Print_Area_29">#REF!</definedName>
    <definedName name="Excel_BuiltIn_Print_Area_3_1">#REF!</definedName>
    <definedName name="Excel_BuiltIn_Print_Area_32">#REF!</definedName>
    <definedName name="Excel_BuiltIn_Print_Area_35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_1">#REF!</definedName>
    <definedName name="Excel_BuiltIn_Print_Area_40">#REF!</definedName>
    <definedName name="Excel_BuiltIn_Print_Area_41">#REF!</definedName>
    <definedName name="Excel_BuiltIn_Print_Area_42_1">#REF!</definedName>
    <definedName name="Excel_BuiltIn_Print_Area_44">#REF!</definedName>
    <definedName name="Excel_BuiltIn_Print_Area_46">#REF!</definedName>
    <definedName name="Excel_BuiltIn_Print_Area_5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</definedNames>
  <calcPr calcId="171027" iterate="1" iterateDelta="1E-4" fullPrecision="0"/>
</workbook>
</file>

<file path=xl/calcChain.xml><?xml version="1.0" encoding="utf-8"?>
<calcChain xmlns="http://schemas.openxmlformats.org/spreadsheetml/2006/main">
  <c r="H180" i="31" l="1"/>
  <c r="J180" i="31" s="1"/>
  <c r="H179" i="31"/>
  <c r="J179" i="31" s="1"/>
  <c r="J181" i="31" l="1"/>
  <c r="I181" i="31"/>
  <c r="I8" i="32"/>
  <c r="I7" i="32"/>
  <c r="F8" i="32"/>
  <c r="F7" i="32"/>
  <c r="G27" i="30"/>
  <c r="G26" i="30"/>
  <c r="F25" i="30"/>
  <c r="G25" i="30"/>
  <c r="H152" i="31" l="1"/>
  <c r="F152" i="31"/>
  <c r="H119" i="31"/>
  <c r="F119" i="31"/>
  <c r="H118" i="31"/>
  <c r="F118" i="31"/>
  <c r="I112" i="31"/>
  <c r="H112" i="31"/>
  <c r="G112" i="31"/>
  <c r="F112" i="31"/>
  <c r="H115" i="31"/>
  <c r="F115" i="31"/>
  <c r="H109" i="31"/>
  <c r="F109" i="31"/>
  <c r="F88" i="31"/>
  <c r="F91" i="31"/>
  <c r="F87" i="31"/>
  <c r="F69" i="31" l="1"/>
  <c r="F73" i="31" s="1"/>
  <c r="F80" i="31" s="1"/>
  <c r="G9" i="30"/>
  <c r="G13" i="30"/>
  <c r="G12" i="30"/>
  <c r="G11" i="30"/>
  <c r="F26" i="30"/>
  <c r="G10" i="30"/>
  <c r="G8" i="30"/>
  <c r="G7" i="30"/>
  <c r="G6" i="30"/>
  <c r="G5" i="30"/>
  <c r="K137" i="31"/>
  <c r="K138" i="31" s="1"/>
  <c r="G14" i="30" l="1"/>
  <c r="H140" i="31" l="1"/>
  <c r="H69" i="31" l="1"/>
  <c r="H73" i="31" s="1"/>
  <c r="H80" i="31" s="1"/>
  <c r="F45" i="31"/>
  <c r="F18" i="30" l="1"/>
  <c r="G18" i="30" s="1"/>
  <c r="D169" i="31" l="1"/>
  <c r="D168" i="31"/>
  <c r="I162" i="31"/>
  <c r="H31" i="31"/>
  <c r="F31" i="31"/>
  <c r="F13" i="30" l="1"/>
  <c r="H147" i="31"/>
  <c r="F147" i="31"/>
  <c r="H138" i="31"/>
  <c r="H137" i="31"/>
  <c r="H131" i="31"/>
  <c r="F131" i="31"/>
  <c r="H122" i="31"/>
  <c r="F122" i="31"/>
  <c r="H96" i="31"/>
  <c r="F96" i="31"/>
  <c r="H84" i="31"/>
  <c r="F84" i="31"/>
  <c r="H76" i="31"/>
  <c r="F76" i="31"/>
  <c r="H66" i="31"/>
  <c r="F66" i="31"/>
  <c r="F61" i="31"/>
  <c r="H60" i="31"/>
  <c r="H59" i="31"/>
  <c r="H58" i="31"/>
  <c r="H57" i="31"/>
  <c r="H56" i="31"/>
  <c r="H55" i="31"/>
  <c r="H54" i="31"/>
  <c r="H53" i="31"/>
  <c r="H51" i="31"/>
  <c r="F51" i="31"/>
  <c r="H45" i="31"/>
  <c r="H46" i="31" s="1"/>
  <c r="F44" i="31"/>
  <c r="F46" i="31" s="1"/>
  <c r="H42" i="31"/>
  <c r="F42" i="31"/>
  <c r="F32" i="31"/>
  <c r="F38" i="31" s="1"/>
  <c r="F149" i="31" l="1"/>
  <c r="G89" i="31"/>
  <c r="G98" i="31"/>
  <c r="G87" i="31"/>
  <c r="G111" i="31"/>
  <c r="G86" i="31"/>
  <c r="G91" i="31"/>
  <c r="G88" i="31"/>
  <c r="G100" i="31"/>
  <c r="G55" i="31"/>
  <c r="G99" i="31"/>
  <c r="G54" i="31"/>
  <c r="G45" i="31"/>
  <c r="G44" i="31"/>
  <c r="G46" i="31" s="1"/>
  <c r="G60" i="31"/>
  <c r="G56" i="31"/>
  <c r="G53" i="31"/>
  <c r="G59" i="31"/>
  <c r="G58" i="31"/>
  <c r="G57" i="31"/>
  <c r="F47" i="31"/>
  <c r="F90" i="31"/>
  <c r="F92" i="31" s="1"/>
  <c r="H87" i="31"/>
  <c r="H105" i="31"/>
  <c r="H91" i="31"/>
  <c r="H32" i="31"/>
  <c r="H61" i="31"/>
  <c r="H47" i="31" s="1"/>
  <c r="H88" i="31"/>
  <c r="F105" i="31"/>
  <c r="H35" i="31" l="1"/>
  <c r="G47" i="31"/>
  <c r="G48" i="31" s="1"/>
  <c r="F78" i="31" s="1"/>
  <c r="F81" i="31" s="1"/>
  <c r="F150" i="31" s="1"/>
  <c r="G61" i="31"/>
  <c r="F79" i="31" s="1"/>
  <c r="G90" i="31"/>
  <c r="H34" i="31"/>
  <c r="H38" i="31" s="1"/>
  <c r="G103" i="31"/>
  <c r="I111" i="31" l="1"/>
  <c r="I98" i="31"/>
  <c r="I89" i="31"/>
  <c r="I86" i="31"/>
  <c r="I45" i="31"/>
  <c r="I44" i="31"/>
  <c r="I46" i="31" s="1"/>
  <c r="I47" i="31" s="1"/>
  <c r="I48" i="31" s="1"/>
  <c r="H78" i="31" s="1"/>
  <c r="I53" i="31"/>
  <c r="I55" i="31"/>
  <c r="I57" i="31"/>
  <c r="I60" i="31"/>
  <c r="I58" i="31"/>
  <c r="I54" i="31"/>
  <c r="I59" i="31"/>
  <c r="I56" i="31"/>
  <c r="I87" i="31"/>
  <c r="I88" i="31"/>
  <c r="I91" i="31"/>
  <c r="H149" i="31"/>
  <c r="I103" i="31"/>
  <c r="I61" i="31" l="1"/>
  <c r="H79" i="31" s="1"/>
  <c r="H81" i="31" s="1"/>
  <c r="F27" i="30"/>
  <c r="F6" i="30"/>
  <c r="F7" i="30"/>
  <c r="F8" i="30"/>
  <c r="F9" i="30"/>
  <c r="F10" i="30"/>
  <c r="F11" i="30"/>
  <c r="F12" i="30"/>
  <c r="F19" i="30"/>
  <c r="G19" i="30" s="1"/>
  <c r="F20" i="30"/>
  <c r="G20" i="30" s="1"/>
  <c r="I100" i="31" l="1"/>
  <c r="I101" i="31"/>
  <c r="I99" i="31"/>
  <c r="H90" i="31"/>
  <c r="I102" i="31"/>
  <c r="H142" i="31"/>
  <c r="I90" i="31" l="1"/>
  <c r="I92" i="31" s="1"/>
  <c r="H92" i="31"/>
  <c r="H151" i="31" l="1"/>
  <c r="H104" i="31" l="1"/>
  <c r="H106" i="31" s="1"/>
  <c r="I104" i="31"/>
  <c r="I105" i="31" s="1"/>
  <c r="I106" i="31" s="1"/>
  <c r="H150" i="31"/>
  <c r="G28" i="30"/>
  <c r="G102" i="31"/>
  <c r="G101" i="31"/>
  <c r="H117" i="31" l="1"/>
  <c r="F33" i="30"/>
  <c r="F32" i="30"/>
  <c r="G92" i="31"/>
  <c r="F151" i="31" s="1"/>
  <c r="G21" i="30" l="1"/>
  <c r="F104" i="31" l="1"/>
  <c r="F106" i="31" s="1"/>
  <c r="G104" i="31"/>
  <c r="G105" i="31" s="1"/>
  <c r="G106" i="31" s="1"/>
  <c r="E32" i="30"/>
  <c r="F125" i="31" s="1"/>
  <c r="E33" i="30"/>
  <c r="H125" i="31" s="1"/>
  <c r="F142" i="31"/>
  <c r="F5" i="30"/>
  <c r="F117" i="31" l="1"/>
  <c r="D32" i="30"/>
  <c r="F124" i="31" s="1"/>
  <c r="D33" i="30"/>
  <c r="H124" i="31" s="1"/>
  <c r="F126" i="31" l="1"/>
  <c r="F128" i="31" s="1"/>
  <c r="F153" i="31" s="1"/>
  <c r="F154" i="31" s="1"/>
  <c r="H126" i="31"/>
  <c r="H128" i="31" s="1"/>
  <c r="H153" i="31" s="1"/>
  <c r="H154" i="31" s="1"/>
  <c r="G33" i="30"/>
  <c r="G32" i="30"/>
  <c r="I133" i="31" l="1"/>
  <c r="I134" i="31" s="1"/>
  <c r="G133" i="31"/>
  <c r="G134" i="31" l="1"/>
  <c r="G137" i="31" s="1"/>
  <c r="I140" i="31"/>
  <c r="I137" i="31"/>
  <c r="I138" i="31"/>
  <c r="I142" i="31" l="1"/>
  <c r="H155" i="31" s="1"/>
  <c r="H156" i="31" s="1"/>
  <c r="F161" i="31" s="1"/>
  <c r="G140" i="31"/>
  <c r="G138" i="31"/>
  <c r="H161" i="31" l="1"/>
  <c r="J161" i="31" s="1"/>
  <c r="J169" i="31" s="1"/>
  <c r="G142" i="31"/>
  <c r="F155" i="31" s="1"/>
  <c r="F156" i="31" s="1"/>
  <c r="F160" i="31" s="1"/>
  <c r="H160" i="31" s="1"/>
  <c r="J160" i="31" s="1"/>
  <c r="J162" i="31" s="1"/>
  <c r="G8" i="32" l="1"/>
  <c r="H8" i="32" s="1"/>
  <c r="J168" i="31"/>
  <c r="J170" i="31" s="1"/>
  <c r="J171" i="31" s="1"/>
  <c r="G7" i="32"/>
  <c r="H7" i="32" s="1"/>
  <c r="I9" i="32" l="1"/>
  <c r="H12" i="32" s="1"/>
  <c r="H9" i="32"/>
  <c r="H11" i="32" s="1"/>
</calcChain>
</file>

<file path=xl/sharedStrings.xml><?xml version="1.0" encoding="utf-8"?>
<sst xmlns="http://schemas.openxmlformats.org/spreadsheetml/2006/main" count="368" uniqueCount="227">
  <si>
    <t>Categoria</t>
  </si>
  <si>
    <t>Descrição</t>
  </si>
  <si>
    <t>VIGILANTES</t>
  </si>
  <si>
    <t>A</t>
  </si>
  <si>
    <t>B</t>
  </si>
  <si>
    <t>C</t>
  </si>
  <si>
    <t>D</t>
  </si>
  <si>
    <t>Valor (R$)</t>
  </si>
  <si>
    <t>E</t>
  </si>
  <si>
    <t>-</t>
  </si>
  <si>
    <t>Benefícios Mensais e Diários</t>
  </si>
  <si>
    <t>Provisão para Rescisão</t>
  </si>
  <si>
    <t>Aviso prévio indenizado</t>
  </si>
  <si>
    <t>Aviso prévio trabalhado</t>
  </si>
  <si>
    <t>Licença paternidade</t>
  </si>
  <si>
    <t>Ausências legais</t>
  </si>
  <si>
    <t>Ausência por Acidente de Trabalho</t>
  </si>
  <si>
    <t>Custos Indiretos, Tributos e Lucro</t>
  </si>
  <si>
    <t>Custos Indiretos</t>
  </si>
  <si>
    <t xml:space="preserve"> Lucro</t>
  </si>
  <si>
    <t>Caneta</t>
  </si>
  <si>
    <t>Cinto</t>
  </si>
  <si>
    <t>Vida útil</t>
  </si>
  <si>
    <t>Par de Meias</t>
  </si>
  <si>
    <t>Livro de Ocorrência</t>
  </si>
  <si>
    <t>Cordão com Apito</t>
  </si>
  <si>
    <t>Lanterna</t>
  </si>
  <si>
    <t>Calça</t>
  </si>
  <si>
    <t>Camisa</t>
  </si>
  <si>
    <t>Coturno</t>
  </si>
  <si>
    <t>Boné</t>
  </si>
  <si>
    <t>Japona de Frio</t>
  </si>
  <si>
    <t>Crachá</t>
  </si>
  <si>
    <t xml:space="preserve">Celular </t>
  </si>
  <si>
    <t>Submódulo 2.3 -Benefícios mensais e diários</t>
  </si>
  <si>
    <t>MÓDULO 2: ENCARGOS E BENEFÍCIOS ANUAIS, MENSAIS E DIÁRIOS</t>
  </si>
  <si>
    <t>2.3</t>
  </si>
  <si>
    <r>
      <t xml:space="preserve">Transporte </t>
    </r>
    <r>
      <rPr>
        <b/>
        <sz val="9"/>
        <rFont val="Times New Roman"/>
        <family val="1"/>
      </rPr>
      <t>(informar solução</t>
    </r>
    <r>
      <rPr>
        <sz val="9"/>
        <rFont val="Times New Roman"/>
        <family val="1"/>
      </rPr>
      <t>)</t>
    </r>
  </si>
  <si>
    <t>Auxílio Alimentação (vales, cesta básica, etc...)</t>
  </si>
  <si>
    <t>MÓDULO 3: PROVISÃO PARA RESCISÃO</t>
  </si>
  <si>
    <t>3</t>
  </si>
  <si>
    <t>4.1</t>
  </si>
  <si>
    <t>MÓDULO 4 - CUSTO DE REPOSIÇÃO DO PROFISSIONAL AUSENTE</t>
  </si>
  <si>
    <t>Submódulo 4.1 – Ausências Legais</t>
  </si>
  <si>
    <t>Afastamento maternidade (remuneração do substituto)</t>
  </si>
  <si>
    <t>MÓDULO 6 - CUSTOS INDIRETOS, LUCRO E TRIBUTOS</t>
  </si>
  <si>
    <r>
      <t>QUADRO 1A</t>
    </r>
    <r>
      <rPr>
        <b/>
        <sz val="9"/>
        <rFont val="Times New Roman"/>
        <family val="1"/>
      </rPr>
      <t xml:space="preserve"> - CUSTO ANUAL ESTIMADO COM UNIFORMES - POR VIGILANTE</t>
    </r>
  </si>
  <si>
    <t xml:space="preserve"> Custo Unitário Estimado</t>
  </si>
  <si>
    <t>Custo Mensal Estimado por Profissional</t>
  </si>
  <si>
    <t>TOTAL</t>
  </si>
  <si>
    <r>
      <t>QUADRO 2A</t>
    </r>
    <r>
      <rPr>
        <b/>
        <sz val="9"/>
        <rFont val="Times New Roman"/>
        <family val="1"/>
      </rPr>
      <t xml:space="preserve"> - CUSTO ESTIMADO COM MATERIAIS (USO COMUM)</t>
    </r>
  </si>
  <si>
    <t>Quantidade Fornecida por Ano</t>
  </si>
  <si>
    <r>
      <t>QUADRO 3A</t>
    </r>
    <r>
      <rPr>
        <b/>
        <sz val="9"/>
        <rFont val="Times New Roman"/>
        <family val="1"/>
      </rPr>
      <t xml:space="preserve"> - CUSTO ESTIMADO COM EQUIPAMENTOS (USO COMUM)</t>
    </r>
  </si>
  <si>
    <t xml:space="preserve">Quantidade Fornecida </t>
  </si>
  <si>
    <t>Quantidade Fornecida</t>
  </si>
  <si>
    <t>CUSTO MENSAL ESTIMADO DOS INSUMOS - POR VIGILANTE</t>
  </si>
  <si>
    <t>Escala de Trabalho</t>
  </si>
  <si>
    <t>Uniformes</t>
  </si>
  <si>
    <t>Materiais</t>
  </si>
  <si>
    <t>Total</t>
  </si>
  <si>
    <t>Localidade/Município de execução do serviço:</t>
  </si>
  <si>
    <t>Nº Processo</t>
  </si>
  <si>
    <t xml:space="preserve">Licitação Nº </t>
  </si>
  <si>
    <t>Dia/Hora</t>
  </si>
  <si>
    <t xml:space="preserve">Discriminação dos Serviços (dados referentes à contratação) </t>
  </si>
  <si>
    <t>Data de apresentação da proposta (dia/mês/ano)</t>
  </si>
  <si>
    <t xml:space="preserve">Município/UF </t>
  </si>
  <si>
    <t>Ano Acordo, Convenção ou Sentença Normativa em Dissídio Coletivo</t>
  </si>
  <si>
    <t>Nº de meses de execução contratual</t>
  </si>
  <si>
    <t>Convenção Coletiva de Trabalho</t>
  </si>
  <si>
    <t>Identificação do Serviço</t>
  </si>
  <si>
    <t>Tipo de Serviço</t>
  </si>
  <si>
    <t>Unidade de Medida</t>
  </si>
  <si>
    <t xml:space="preserve">ANEXO I-A – MÃO DE OBRA </t>
  </si>
  <si>
    <t>Mão de obra vinculada à execução contratual</t>
  </si>
  <si>
    <t>Dados complementares para composição dos custos referente à mão de obra</t>
  </si>
  <si>
    <t>Tipo de serviço (mesmo serviço com características distintas)</t>
  </si>
  <si>
    <t>Segurança e Vigilância Patrimonial</t>
  </si>
  <si>
    <t>Salário Normativo da Categoria Profissional</t>
  </si>
  <si>
    <t>Categoria profissional (vinculada à execução contratual)</t>
  </si>
  <si>
    <t>Vigilante</t>
  </si>
  <si>
    <t>Data base da categoria (dia/mês/ano)</t>
  </si>
  <si>
    <t>MÓDULO 1: COMPOSIÇÃO DA REMUNERAÇÃO</t>
  </si>
  <si>
    <t>Composição da Remuneração</t>
  </si>
  <si>
    <t>Salário Base</t>
  </si>
  <si>
    <t>Adicional de Periculosidade</t>
  </si>
  <si>
    <t>Adicional de Insalubridade</t>
  </si>
  <si>
    <t>Adicional Noturno</t>
  </si>
  <si>
    <t>Hora Noturna Reduzida</t>
  </si>
  <si>
    <t>F</t>
  </si>
  <si>
    <t>Adicional de Hora Extra no Feriado Trabalhado</t>
  </si>
  <si>
    <t>G</t>
  </si>
  <si>
    <t>Outros (Especificar)</t>
  </si>
  <si>
    <t>Total da Remuneração</t>
  </si>
  <si>
    <t>Submódulo 2.1 – 13º Salário e Adicional de Férias</t>
  </si>
  <si>
    <t>2.1</t>
  </si>
  <si>
    <t>13º (décimo terceiro) Salário e Adicional de Férias</t>
  </si>
  <si>
    <t>%</t>
  </si>
  <si>
    <t>13º (décimo terceiro) Salário</t>
  </si>
  <si>
    <t>Adicional de Férias (terço constitucional de férias)</t>
  </si>
  <si>
    <t>Subtotal</t>
  </si>
  <si>
    <t>Incidência do Submódulo 2.2 sobre o 13º salário e Adicional de Férias</t>
  </si>
  <si>
    <t>Total (Subtotal + C)</t>
  </si>
  <si>
    <t>Submódulo 2.2 - Encargos previdenciários, FGTS e outras contribuições</t>
  </si>
  <si>
    <t>2.2</t>
  </si>
  <si>
    <t>Encargos previdenciários, FGTS e outras contribuições</t>
  </si>
  <si>
    <t>Previdência Social (INSS)</t>
  </si>
  <si>
    <t>Salário Educação</t>
  </si>
  <si>
    <t>Contribuição Adicional (RAT Ajustado - RAT X FAP)</t>
  </si>
  <si>
    <t>SESI/SESC</t>
  </si>
  <si>
    <t>SENAI/SENAC</t>
  </si>
  <si>
    <t>SEBRAE</t>
  </si>
  <si>
    <t>INCRA</t>
  </si>
  <si>
    <t>H</t>
  </si>
  <si>
    <t>FGTS</t>
  </si>
  <si>
    <t>Nota (1) - Os percentuais dos encargos previdenciários, do FGTS e demais contribuições são aqueles estabelecidos pela legislação vigente.</t>
  </si>
  <si>
    <t>Nota (2) - Percentuais incidentes sobre a remuneração.</t>
  </si>
  <si>
    <t>Total de Benefícios Mensais e Diários</t>
  </si>
  <si>
    <t>Quadro-Resumo do Módulo 2 - Encargos e Benefícios anuais, mensais e diários</t>
  </si>
  <si>
    <t>Encargos e Benefícios Anuais, Mensais e Diários</t>
  </si>
  <si>
    <t>Encargos Previdenciários, FGTS e outras contribuições</t>
  </si>
  <si>
    <t>Incidência do FGTS sobre o aviso prévio indenizado</t>
  </si>
  <si>
    <t>Multa sobre FGTS e Contribuições Sociais sobre o aviso prévio indenizado</t>
  </si>
  <si>
    <t>Incidência dos encargos do submódulo 2.2 sobre o aviso prévio trabalhado</t>
  </si>
  <si>
    <t>Multa sobre FGTS e Contribuições Sociais sobre o aviso prévio trabalhado</t>
  </si>
  <si>
    <t>Férias (remuneração do substituto)</t>
  </si>
  <si>
    <t>Outros (especificar)</t>
  </si>
  <si>
    <t>Incidência dos encargos do submódulo 2.2 sobre o custo de substituição em virtude de ausências legais.</t>
  </si>
  <si>
    <t>MÓDULO 5 - INSUMOS DIVERSOS</t>
  </si>
  <si>
    <t>Insumos Diversos</t>
  </si>
  <si>
    <t>Equipamentos e Armamentos</t>
  </si>
  <si>
    <t>Total de Insumos Diversos</t>
  </si>
  <si>
    <t>Nota: Valores mensais por empregado, conforme planilha de cálculo de insumos.</t>
  </si>
  <si>
    <t>Tributos</t>
  </si>
  <si>
    <t>C.1</t>
  </si>
  <si>
    <t>Tributos Federais</t>
  </si>
  <si>
    <t>PIS</t>
  </si>
  <si>
    <t>COFINS</t>
  </si>
  <si>
    <t>C.2</t>
  </si>
  <si>
    <t>Tributos Municipais</t>
  </si>
  <si>
    <t>ISSQN</t>
  </si>
  <si>
    <t>C.3</t>
  </si>
  <si>
    <t xml:space="preserve">    Outros Tributos (especificar)</t>
  </si>
  <si>
    <t>Nota (1): Custos Indiretos, Tributos e Lucro por empregado</t>
  </si>
  <si>
    <t>Nota (2): O valor referente a tributos é obtido aplicando-se o percentual sobre o valor do faturamento.</t>
  </si>
  <si>
    <t xml:space="preserve">ANEXO I-B - QUADRO-RESUMO DO CUSTO POR EMPREGADO </t>
  </si>
  <si>
    <t>Mão de obra vinculada à execução contratual (valor por empregado)</t>
  </si>
  <si>
    <t>Módulo 1 - Composição da Remuneração</t>
  </si>
  <si>
    <t>Módulo 2 - Encargos e Benefícios Mensais e Diários</t>
  </si>
  <si>
    <t>Módulo 3 - Provisão para Rescisão</t>
  </si>
  <si>
    <t>Módulo 4 - Custo de Reposição do Profissional Ausente</t>
  </si>
  <si>
    <t>Módulo 5 - Insumos Diversos</t>
  </si>
  <si>
    <t>Subtotal (A+B+C+D)</t>
  </si>
  <si>
    <t>Módulo 6 - Custos Indiretos, Tributos e Lucro</t>
  </si>
  <si>
    <t>VALOR TOTAL POR EMPREGADO</t>
  </si>
  <si>
    <t>ANEXO I-C - QUADRO-RESUMO - VALOR MENSAL DOS SERVIÇOS</t>
  </si>
  <si>
    <t>Tipo de serviço (A)</t>
  </si>
  <si>
    <t>Valor proposto por empregado (B)</t>
  </si>
  <si>
    <t xml:space="preserve">Qtde. de empregados por posto (C) </t>
  </si>
  <si>
    <t>Valor proposto por posto (D) = (B x C)</t>
  </si>
  <si>
    <t>Qtde. de postos (E)</t>
  </si>
  <si>
    <t>Valor total serviço (F) = (D x E)</t>
  </si>
  <si>
    <t>VALOR MENSAL DOS SERVIÇOS (Soma da Coluna (F))</t>
  </si>
  <si>
    <t>ANEXO I-D - QUADRO-DEMONSTRATIVO - VALOR GLOBAL DA PROPOSTA</t>
  </si>
  <si>
    <t>Valor Global da Proposta</t>
  </si>
  <si>
    <t>Valor proposto por unidade de medida *</t>
  </si>
  <si>
    <t>A1</t>
  </si>
  <si>
    <t>A2</t>
  </si>
  <si>
    <t>Valor mensal do serviço</t>
  </si>
  <si>
    <t>Valor global da proposta (valor mensal do serviço x nº meses do contrato)</t>
  </si>
  <si>
    <t>Nota (1): Informar o valor da unidade de medida por tipo de serviço.</t>
  </si>
  <si>
    <t>Planilha de Custos e Formação de Preços para Serviços de Vigilância executados de forma contínua em edifícios públicos</t>
  </si>
  <si>
    <t>Localidade</t>
  </si>
  <si>
    <t>Postos de Vigilância – valor e quantidade postos por tipo e quant. de vigilantes por posto e localidade</t>
  </si>
  <si>
    <t>Valor Mensal</t>
  </si>
  <si>
    <t>Q.V.</t>
  </si>
  <si>
    <t>Q.P.</t>
  </si>
  <si>
    <t>Salário Base (R$)</t>
  </si>
  <si>
    <t>Valor do Posto (R$)</t>
  </si>
  <si>
    <t>Valor Mensal do Serviço</t>
  </si>
  <si>
    <t xml:space="preserve">* Q.V – Quantidade de Vigilantes; Q.P – Quantidade de Postos. </t>
  </si>
  <si>
    <t>Seguro de Vida Assistência ou Auxílio Funeral e Auxílio Alimentação</t>
  </si>
  <si>
    <t>Porto Franco - MA</t>
  </si>
  <si>
    <t>Porto Franco/MA</t>
  </si>
  <si>
    <t>Qtde. total de postos</t>
  </si>
  <si>
    <t>Custo Total por profissional</t>
  </si>
  <si>
    <t>Custo Mensal por Profissional</t>
  </si>
  <si>
    <t>Custo Total</t>
  </si>
  <si>
    <t>VIGILÂNCIA - PORTO FRANCO/MA</t>
  </si>
  <si>
    <t>Plano do aparelho celular (mensal)</t>
  </si>
  <si>
    <t>Plano de Saúde</t>
  </si>
  <si>
    <t>INSUMOS DE MÃO DE OBRA VIGILÂNCIA DESARMADA - Porto Franco - MA</t>
  </si>
  <si>
    <t xml:space="preserve">12x36 Diurno (seg-dom) Desarmado </t>
  </si>
  <si>
    <t xml:space="preserve">12x36 Noturno (seg-dom) Desarmado </t>
  </si>
  <si>
    <t>Vigilância Patrimonial Desarmada 12 x 36h Diurnas (seg-dom)</t>
  </si>
  <si>
    <t>Vigilância Patrimonial Desarmada 12 x 36h Noturnas (seg-dom)</t>
  </si>
  <si>
    <t>Posto</t>
  </si>
  <si>
    <t>12x36 Diurno (seg-dom) Desarmado</t>
  </si>
  <si>
    <t>12x36 Noturno (seg-dom) Desarmado</t>
  </si>
  <si>
    <t>Vigilância Patrimonial Desarmada 12 x 36h Diurno</t>
  </si>
  <si>
    <t>Vigilância Patrimonial Desarmada 12 x 36h Noturno</t>
  </si>
  <si>
    <t>Vigilância Patrimonial Desarmada 12 x 36h Diurno (seg-dom)</t>
  </si>
  <si>
    <t xml:space="preserve">Vigilância Patrimonial Desarmada 12 x 36h Noturno (seg-dom) </t>
  </si>
  <si>
    <t>Capa de chuva</t>
  </si>
  <si>
    <t>Equipamentos</t>
  </si>
  <si>
    <t>Valor Global do Serviço (6 meses)</t>
  </si>
  <si>
    <t>51402.232743/2019-73</t>
  </si>
  <si>
    <t>MA000045/2019</t>
  </si>
  <si>
    <t>01/02/2019</t>
  </si>
  <si>
    <t>Submódulo 4.2 – Intrajornada</t>
  </si>
  <si>
    <t>4.2</t>
  </si>
  <si>
    <t>Intrajornada</t>
  </si>
  <si>
    <t>Intervalo para repouso e alimentação</t>
  </si>
  <si>
    <t>Quadro-Resumo do Módulo 4 - Custo de Reposição do Profissional Ausente</t>
  </si>
  <si>
    <t>4</t>
  </si>
  <si>
    <t>Custo de Reposição do Profissional Ausente</t>
  </si>
  <si>
    <t>Ausências Legais</t>
  </si>
  <si>
    <t>Valor Global (6 meses)</t>
  </si>
  <si>
    <t>ANEXO I-E - COMPLEMENTO DOS SERVIÇOS DE VIGILÂNCIA</t>
  </si>
  <si>
    <t>VALOR MENSAL DOS SERVIÇOS</t>
  </si>
  <si>
    <t>Preço Mensal do Posto</t>
  </si>
  <si>
    <t>N° de postos</t>
  </si>
  <si>
    <t>Subtotal (R$)</t>
  </si>
  <si>
    <t>I</t>
  </si>
  <si>
    <t>12 (doze) horas diurnas, de segunda-feira a domingo, envolvendo 2 (dois) vigilantes em turnos de 12 (doze) por 36 (trinta e seis) horas.</t>
  </si>
  <si>
    <t>II</t>
  </si>
  <si>
    <t>12 (doze) horas noturnas, de segunda-feira a domingo, envolvendo 2 (dois) vigilantes em turnos de 12 (doze) por 36 (trinta e seis)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</si>
</sst>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&quot;R$ &quot;* #,##0.00_-;&quot;-R$ &quot;* #,##0.00_-;_-&quot;R$ &quot;* \-??_-;_-@_-"/>
    <numFmt numFmtId="165" formatCode="&quot;R$ &quot;#,##0.00"/>
    <numFmt numFmtId="166" formatCode="dd/mm/yy"/>
    <numFmt numFmtId="167" formatCode="[$R$-416]\ #,##0.00;[Red]\-[$R$-416]\ #,##0.00"/>
    <numFmt numFmtId="168" formatCode="&quot;R$ &quot;#,##0.00;[Red]&quot;R$ &quot;#,##0.00"/>
    <numFmt numFmtId="169" formatCode="&quot;R$&quot;\ #,##0.00"/>
    <numFmt numFmtId="170" formatCode="0.0000%"/>
    <numFmt numFmtId="171" formatCode="#,##0.00\ ;&quot; (&quot;#,##0.00\);&quot; -&quot;#\ ;@\ "/>
    <numFmt numFmtId="172" formatCode="&quot;R$ &quot;#,##0.00_);[Red]&quot;(R$ &quot;#,##0.00\)"/>
    <numFmt numFmtId="173" formatCode="[$R$-416]\ #,##0.00;[Red]\-[$R$-416]\ #,##0.00;\-"/>
  </numFmts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u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8"/>
      <name val="Times New Roman"/>
      <family val="1"/>
    </font>
    <font>
      <sz val="9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164" fontId="17" fillId="0" borderId="0" applyFill="0" applyBorder="0" applyAlignment="0" applyProtection="0"/>
    <xf numFmtId="0" fontId="13" fillId="21" borderId="0" applyNumberFormat="0" applyBorder="0" applyAlignment="0" applyProtection="0"/>
    <xf numFmtId="0" fontId="17" fillId="22" borderId="7" applyNumberFormat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ill="0" applyBorder="0" applyAlignment="0" applyProtection="0"/>
  </cellStyleXfs>
  <cellXfs count="299">
    <xf numFmtId="0" fontId="0" fillId="0" borderId="0" xfId="0"/>
    <xf numFmtId="0" fontId="18" fillId="23" borderId="0" xfId="0" applyFont="1" applyFill="1" applyAlignment="1">
      <alignment horizontal="center" vertical="center"/>
    </xf>
    <xf numFmtId="0" fontId="19" fillId="23" borderId="0" xfId="0" applyFont="1" applyFill="1" applyAlignment="1">
      <alignment vertical="center"/>
    </xf>
    <xf numFmtId="0" fontId="20" fillId="0" borderId="0" xfId="0" applyFont="1"/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4" fillId="0" borderId="13" xfId="0" applyFont="1" applyBorder="1"/>
    <xf numFmtId="164" fontId="20" fillId="0" borderId="10" xfId="36" applyFont="1" applyFill="1" applyBorder="1" applyAlignment="1" applyProtection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64" fontId="20" fillId="0" borderId="10" xfId="36" applyFont="1" applyFill="1" applyBorder="1" applyAlignment="1" applyProtection="1">
      <alignment horizontal="right"/>
    </xf>
    <xf numFmtId="164" fontId="20" fillId="0" borderId="11" xfId="36" applyFont="1" applyFill="1" applyBorder="1" applyAlignment="1" applyProtection="1">
      <alignment horizontal="right"/>
    </xf>
    <xf numFmtId="0" fontId="24" fillId="0" borderId="13" xfId="0" applyFont="1" applyBorder="1" applyAlignment="1">
      <alignment wrapText="1"/>
    </xf>
    <xf numFmtId="169" fontId="26" fillId="23" borderId="11" xfId="0" applyNumberFormat="1" applyFont="1" applyFill="1" applyBorder="1" applyAlignment="1">
      <alignment horizontal="center" vertical="center"/>
    </xf>
    <xf numFmtId="10" fontId="26" fillId="23" borderId="11" xfId="44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164" fontId="20" fillId="0" borderId="10" xfId="36" applyFont="1" applyFill="1" applyBorder="1" applyAlignment="1" applyProtection="1">
      <alignment horizontal="right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>
      <alignment horizontal="center" vertical="center" wrapText="1"/>
    </xf>
    <xf numFmtId="164" fontId="20" fillId="0" borderId="28" xfId="36" applyFont="1" applyFill="1" applyBorder="1" applyAlignment="1" applyProtection="1">
      <alignment horizontal="right" vertical="center" wrapText="1"/>
    </xf>
    <xf numFmtId="0" fontId="24" fillId="0" borderId="30" xfId="0" applyFont="1" applyBorder="1"/>
    <xf numFmtId="0" fontId="26" fillId="0" borderId="20" xfId="0" applyFont="1" applyBorder="1" applyAlignment="1">
      <alignment horizontal="center" vertical="center" wrapText="1"/>
    </xf>
    <xf numFmtId="164" fontId="20" fillId="0" borderId="20" xfId="36" applyFont="1" applyFill="1" applyBorder="1" applyAlignment="1" applyProtection="1">
      <alignment horizontal="right" vertical="center" wrapText="1"/>
    </xf>
    <xf numFmtId="164" fontId="20" fillId="0" borderId="31" xfId="36" applyFont="1" applyFill="1" applyBorder="1" applyAlignment="1" applyProtection="1">
      <alignment horizontal="right" vertical="center" wrapText="1"/>
    </xf>
    <xf numFmtId="164" fontId="25" fillId="7" borderId="33" xfId="0" applyNumberFormat="1" applyFont="1" applyFill="1" applyBorder="1" applyAlignment="1">
      <alignment vertical="center"/>
    </xf>
    <xf numFmtId="43" fontId="20" fillId="0" borderId="0" xfId="0" applyNumberFormat="1" applyFont="1"/>
    <xf numFmtId="0" fontId="25" fillId="0" borderId="15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0" fillId="0" borderId="11" xfId="0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 textRotation="179"/>
    </xf>
    <xf numFmtId="0" fontId="26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justify" vertical="center"/>
    </xf>
    <xf numFmtId="0" fontId="26" fillId="0" borderId="0" xfId="0" applyFont="1" applyFill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169" fontId="19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30" fillId="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horizontal="left" vertical="center" indent="1"/>
    </xf>
    <xf numFmtId="46" fontId="19" fillId="0" borderId="0" xfId="0" applyNumberFormat="1" applyFont="1" applyFill="1" applyAlignment="1">
      <alignment horizontal="left" vertical="center" indent="1"/>
    </xf>
    <xf numFmtId="169" fontId="19" fillId="0" borderId="0" xfId="0" applyNumberFormat="1" applyFont="1" applyFill="1" applyAlignment="1">
      <alignment horizontal="left" vertical="center" indent="1"/>
    </xf>
    <xf numFmtId="10" fontId="25" fillId="0" borderId="11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 vertical="center"/>
    </xf>
    <xf numFmtId="173" fontId="26" fillId="0" borderId="11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horizontal="left" vertical="center" indent="1"/>
    </xf>
    <xf numFmtId="0" fontId="25" fillId="0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6" fontId="19" fillId="0" borderId="0" xfId="0" applyNumberFormat="1" applyFont="1" applyFill="1" applyAlignment="1">
      <alignment vertical="center"/>
    </xf>
    <xf numFmtId="169" fontId="19" fillId="23" borderId="0" xfId="0" applyNumberFormat="1" applyFont="1" applyFill="1" applyAlignment="1">
      <alignment vertical="center"/>
    </xf>
    <xf numFmtId="0" fontId="30" fillId="0" borderId="11" xfId="0" applyFont="1" applyFill="1" applyBorder="1" applyAlignment="1">
      <alignment vertical="center"/>
    </xf>
    <xf numFmtId="169" fontId="25" fillId="0" borderId="11" xfId="0" applyNumberFormat="1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10" fontId="25" fillId="0" borderId="11" xfId="44" applyNumberFormat="1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170" fontId="25" fillId="0" borderId="11" xfId="44" applyNumberFormat="1" applyFont="1" applyFill="1" applyBorder="1" applyAlignment="1">
      <alignment horizontal="center" vertical="center"/>
    </xf>
    <xf numFmtId="10" fontId="26" fillId="0" borderId="11" xfId="44" applyNumberFormat="1" applyFont="1" applyFill="1" applyBorder="1" applyAlignment="1">
      <alignment horizontal="center" vertical="center"/>
    </xf>
    <xf numFmtId="170" fontId="25" fillId="0" borderId="11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167" fontId="25" fillId="0" borderId="17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indent="1"/>
    </xf>
    <xf numFmtId="10" fontId="26" fillId="0" borderId="0" xfId="0" applyNumberFormat="1" applyFont="1" applyFill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0" fontId="32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0" fontId="25" fillId="0" borderId="0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center" textRotation="179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Alignment="1">
      <alignment vertical="center" wrapText="1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167" fontId="20" fillId="0" borderId="38" xfId="0" applyNumberFormat="1" applyFont="1" applyBorder="1" applyAlignment="1">
      <alignment horizontal="center" vertical="center"/>
    </xf>
    <xf numFmtId="169" fontId="20" fillId="0" borderId="38" xfId="0" applyNumberFormat="1" applyFont="1" applyBorder="1" applyAlignment="1">
      <alignment horizontal="center" vertical="center"/>
    </xf>
    <xf numFmtId="167" fontId="20" fillId="0" borderId="3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7" fontId="21" fillId="0" borderId="38" xfId="0" applyNumberFormat="1" applyFont="1" applyBorder="1" applyAlignment="1">
      <alignment horizontal="center" vertical="center"/>
    </xf>
    <xf numFmtId="167" fontId="21" fillId="0" borderId="3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167" fontId="35" fillId="24" borderId="0" xfId="0" applyNumberFormat="1" applyFont="1" applyFill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35" fillId="24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0" fontId="19" fillId="0" borderId="0" xfId="44" applyNumberFormat="1" applyFont="1" applyFill="1" applyAlignment="1">
      <alignment vertical="center"/>
    </xf>
    <xf numFmtId="43" fontId="19" fillId="0" borderId="0" xfId="45" applyFont="1" applyFill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164" fontId="20" fillId="0" borderId="44" xfId="36" applyFont="1" applyFill="1" applyBorder="1" applyAlignment="1" applyProtection="1">
      <alignment horizontal="right"/>
    </xf>
    <xf numFmtId="164" fontId="25" fillId="7" borderId="47" xfId="0" applyNumberFormat="1" applyFont="1" applyFill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169" fontId="25" fillId="7" borderId="47" xfId="46" applyNumberFormat="1" applyFont="1" applyFill="1" applyBorder="1" applyAlignment="1" applyProtection="1">
      <alignment horizontal="right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0" fillId="0" borderId="56" xfId="0" applyFont="1" applyBorder="1"/>
    <xf numFmtId="0" fontId="20" fillId="0" borderId="0" xfId="0" applyFont="1" applyBorder="1"/>
    <xf numFmtId="0" fontId="20" fillId="0" borderId="57" xfId="0" applyFont="1" applyBorder="1"/>
    <xf numFmtId="0" fontId="28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3" fontId="26" fillId="23" borderId="0" xfId="0" applyNumberFormat="1" applyFont="1" applyFill="1" applyBorder="1" applyAlignment="1">
      <alignment horizontal="center" vertical="center"/>
    </xf>
    <xf numFmtId="169" fontId="26" fillId="23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Border="1" applyAlignment="1">
      <alignment horizontal="center" vertical="center"/>
    </xf>
    <xf numFmtId="173" fontId="25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168" fontId="26" fillId="0" borderId="11" xfId="0" applyNumberFormat="1" applyFont="1" applyFill="1" applyBorder="1" applyAlignment="1">
      <alignment horizontal="center" vertical="center"/>
    </xf>
    <xf numFmtId="1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67" fontId="26" fillId="0" borderId="11" xfId="0" applyNumberFormat="1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vertical="center"/>
    </xf>
    <xf numFmtId="168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 vertical="center" indent="1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0" fontId="25" fillId="23" borderId="11" xfId="0" applyNumberFormat="1" applyFont="1" applyFill="1" applyBorder="1" applyAlignment="1">
      <alignment horizontal="center" vertical="center"/>
    </xf>
    <xf numFmtId="10" fontId="37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7" borderId="51" xfId="0" applyFont="1" applyFill="1" applyBorder="1" applyAlignment="1">
      <alignment horizontal="center" vertical="center"/>
    </xf>
    <xf numFmtId="0" fontId="25" fillId="7" borderId="52" xfId="0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5" fillId="0" borderId="4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25" fillId="7" borderId="46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 vertical="center"/>
    </xf>
    <xf numFmtId="0" fontId="25" fillId="7" borderId="40" xfId="0" applyFont="1" applyFill="1" applyBorder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6" fillId="23" borderId="24" xfId="0" applyFont="1" applyFill="1" applyBorder="1" applyAlignment="1">
      <alignment horizontal="left" vertical="center"/>
    </xf>
    <xf numFmtId="0" fontId="26" fillId="23" borderId="35" xfId="0" applyFont="1" applyFill="1" applyBorder="1" applyAlignment="1">
      <alignment horizontal="left" vertical="center"/>
    </xf>
    <xf numFmtId="173" fontId="26" fillId="23" borderId="11" xfId="0" applyNumberFormat="1" applyFont="1" applyFill="1" applyBorder="1" applyAlignment="1">
      <alignment horizontal="center" vertical="center"/>
    </xf>
    <xf numFmtId="169" fontId="26" fillId="23" borderId="11" xfId="0" applyNumberFormat="1" applyFont="1" applyFill="1" applyBorder="1" applyAlignment="1">
      <alignment horizontal="center" vertical="center"/>
    </xf>
    <xf numFmtId="0" fontId="26" fillId="23" borderId="24" xfId="0" applyFont="1" applyFill="1" applyBorder="1" applyAlignment="1">
      <alignment horizontal="left" vertical="center" wrapText="1"/>
    </xf>
    <xf numFmtId="0" fontId="26" fillId="23" borderId="35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6" fillId="23" borderId="17" xfId="0" applyFont="1" applyFill="1" applyBorder="1" applyAlignment="1">
      <alignment horizontal="left" vertical="center"/>
    </xf>
    <xf numFmtId="0" fontId="26" fillId="23" borderId="19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23" borderId="18" xfId="0" applyFont="1" applyFill="1" applyBorder="1" applyAlignment="1">
      <alignment horizontal="left" vertical="center"/>
    </xf>
    <xf numFmtId="173" fontId="26" fillId="23" borderId="17" xfId="0" applyNumberFormat="1" applyFont="1" applyFill="1" applyBorder="1" applyAlignment="1">
      <alignment horizontal="center" vertical="center"/>
    </xf>
    <xf numFmtId="173" fontId="26" fillId="23" borderId="19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167" fontId="25" fillId="23" borderId="11" xfId="0" applyNumberFormat="1" applyFont="1" applyFill="1" applyBorder="1" applyAlignment="1">
      <alignment horizontal="center" vertical="center"/>
    </xf>
    <xf numFmtId="167" fontId="25" fillId="0" borderId="17" xfId="0" applyNumberFormat="1" applyFont="1" applyFill="1" applyBorder="1" applyAlignment="1">
      <alignment horizontal="center" vertical="center"/>
    </xf>
    <xf numFmtId="167" fontId="25" fillId="0" borderId="19" xfId="0" applyNumberFormat="1" applyFont="1" applyFill="1" applyBorder="1" applyAlignment="1">
      <alignment horizontal="center" vertical="center"/>
    </xf>
    <xf numFmtId="169" fontId="26" fillId="0" borderId="17" xfId="0" applyNumberFormat="1" applyFont="1" applyFill="1" applyBorder="1" applyAlignment="1">
      <alignment horizontal="center" vertical="center"/>
    </xf>
    <xf numFmtId="169" fontId="26" fillId="0" borderId="19" xfId="0" applyNumberFormat="1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horizontal="left" vertical="center"/>
    </xf>
    <xf numFmtId="173" fontId="26" fillId="0" borderId="11" xfId="0" applyNumberFormat="1" applyFont="1" applyFill="1" applyBorder="1" applyAlignment="1">
      <alignment horizontal="center" vertical="center"/>
    </xf>
    <xf numFmtId="173" fontId="25" fillId="0" borderId="17" xfId="0" applyNumberFormat="1" applyFont="1" applyFill="1" applyBorder="1" applyAlignment="1">
      <alignment horizontal="center" vertical="center"/>
    </xf>
    <xf numFmtId="173" fontId="25" fillId="0" borderId="18" xfId="0" applyNumberFormat="1" applyFont="1" applyFill="1" applyBorder="1" applyAlignment="1">
      <alignment horizontal="center" vertical="center"/>
    </xf>
    <xf numFmtId="173" fontId="25" fillId="0" borderId="19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6" fillId="23" borderId="11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167" fontId="26" fillId="0" borderId="11" xfId="0" applyNumberFormat="1" applyFont="1" applyFill="1" applyBorder="1" applyAlignment="1">
      <alignment horizontal="center" vertical="center"/>
    </xf>
    <xf numFmtId="167" fontId="25" fillId="0" borderId="18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165" fontId="26" fillId="0" borderId="11" xfId="0" applyNumberFormat="1" applyFont="1" applyFill="1" applyBorder="1" applyAlignment="1">
      <alignment horizontal="center" vertical="center"/>
    </xf>
    <xf numFmtId="167" fontId="26" fillId="0" borderId="17" xfId="0" applyNumberFormat="1" applyFont="1" applyFill="1" applyBorder="1" applyAlignment="1">
      <alignment horizontal="center" vertical="center"/>
    </xf>
    <xf numFmtId="167" fontId="26" fillId="0" borderId="19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68" fontId="25" fillId="0" borderId="11" xfId="0" applyNumberFormat="1" applyFont="1" applyFill="1" applyBorder="1" applyAlignment="1">
      <alignment horizontal="center" vertical="center" wrapText="1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oeda" xfId="36" builtinId="4"/>
    <cellStyle name="Neutral" xfId="37"/>
    <cellStyle name="Normal" xfId="0" builtinId="0"/>
    <cellStyle name="Note" xfId="38"/>
    <cellStyle name="Output" xfId="39"/>
    <cellStyle name="Porcentagem" xfId="44" builtinId="5"/>
    <cellStyle name="Separador de milhares_Planilha Custos Vigilancia GEXDF goias - retificada" xfId="46"/>
    <cellStyle name="Title" xfId="40"/>
    <cellStyle name="Título 1 1" xfId="41"/>
    <cellStyle name="Título 5" xfId="42"/>
    <cellStyle name="Vírgula" xfId="45" builtinId="3"/>
    <cellStyle name="Warning Text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95250</xdr:rowOff>
    </xdr:from>
    <xdr:to>
      <xdr:col>4</xdr:col>
      <xdr:colOff>1000125</xdr:colOff>
      <xdr:row>1</xdr:row>
      <xdr:rowOff>190500</xdr:rowOff>
    </xdr:to>
    <xdr:pic>
      <xdr:nvPicPr>
        <xdr:cNvPr id="2" name="Imagem 3" descr="logo vale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0"/>
          <a:ext cx="2562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zoomScale="115" zoomScaleNormal="115" zoomScaleSheetLayoutView="85" workbookViewId="0">
      <selection activeCell="I32" sqref="I32"/>
    </sheetView>
  </sheetViews>
  <sheetFormatPr defaultColWidth="11.5703125" defaultRowHeight="12.75" x14ac:dyDescent="0.2"/>
  <cols>
    <col min="1" max="2" width="13" style="3" customWidth="1"/>
    <col min="3" max="3" width="35.7109375" style="3" customWidth="1"/>
    <col min="4" max="4" width="14.85546875" style="3" customWidth="1"/>
    <col min="5" max="5" width="13" style="3" customWidth="1"/>
    <col min="6" max="6" width="15.5703125" style="3" bestFit="1" customWidth="1"/>
    <col min="7" max="7" width="14.140625" style="3" customWidth="1"/>
    <col min="8" max="16384" width="11.5703125" style="3"/>
  </cols>
  <sheetData>
    <row r="1" spans="1:7" ht="16.5" thickBot="1" x14ac:dyDescent="0.25">
      <c r="A1" s="194" t="s">
        <v>191</v>
      </c>
      <c r="B1" s="195"/>
      <c r="C1" s="195"/>
      <c r="D1" s="195"/>
      <c r="E1" s="195"/>
      <c r="F1" s="195"/>
      <c r="G1" s="196"/>
    </row>
    <row r="2" spans="1:7" ht="15.75" thickBot="1" x14ac:dyDescent="0.3">
      <c r="A2" s="148"/>
      <c r="B2" s="4"/>
      <c r="C2" s="5"/>
      <c r="D2" s="6"/>
      <c r="E2" s="7"/>
      <c r="F2" s="7"/>
      <c r="G2" s="149"/>
    </row>
    <row r="3" spans="1:7" ht="16.5" thickBot="1" x14ac:dyDescent="0.25">
      <c r="A3" s="197" t="s">
        <v>46</v>
      </c>
      <c r="B3" s="198"/>
      <c r="C3" s="198"/>
      <c r="D3" s="198"/>
      <c r="E3" s="198"/>
      <c r="F3" s="198"/>
      <c r="G3" s="199"/>
    </row>
    <row r="4" spans="1:7" ht="24" x14ac:dyDescent="0.2">
      <c r="A4" s="145" t="s">
        <v>0</v>
      </c>
      <c r="B4" s="141" t="s">
        <v>22</v>
      </c>
      <c r="C4" s="8" t="s">
        <v>1</v>
      </c>
      <c r="D4" s="31" t="s">
        <v>47</v>
      </c>
      <c r="E4" s="8" t="s">
        <v>54</v>
      </c>
      <c r="F4" s="8" t="s">
        <v>185</v>
      </c>
      <c r="G4" s="146" t="s">
        <v>186</v>
      </c>
    </row>
    <row r="5" spans="1:7" ht="14.25" customHeight="1" x14ac:dyDescent="0.25">
      <c r="A5" s="200" t="s">
        <v>2</v>
      </c>
      <c r="B5" s="9" t="s">
        <v>9</v>
      </c>
      <c r="C5" s="10" t="s">
        <v>27</v>
      </c>
      <c r="D5" s="11">
        <v>38</v>
      </c>
      <c r="E5" s="32">
        <v>2</v>
      </c>
      <c r="F5" s="33">
        <f>ROUND(E5*D5,2)</f>
        <v>76</v>
      </c>
      <c r="G5" s="37">
        <f>ROUND(F5/6,2)</f>
        <v>12.67</v>
      </c>
    </row>
    <row r="6" spans="1:7" ht="15" x14ac:dyDescent="0.25">
      <c r="A6" s="201"/>
      <c r="B6" s="9" t="s">
        <v>9</v>
      </c>
      <c r="C6" s="10" t="s">
        <v>28</v>
      </c>
      <c r="D6" s="11">
        <v>38</v>
      </c>
      <c r="E6" s="32">
        <v>2</v>
      </c>
      <c r="F6" s="33">
        <f t="shared" ref="F6:F13" si="0">ROUND(E6*D6,2)</f>
        <v>76</v>
      </c>
      <c r="G6" s="37">
        <f>ROUND(F6/6,2)</f>
        <v>12.67</v>
      </c>
    </row>
    <row r="7" spans="1:7" ht="14.25" customHeight="1" x14ac:dyDescent="0.25">
      <c r="A7" s="201"/>
      <c r="B7" s="9" t="s">
        <v>9</v>
      </c>
      <c r="C7" s="10" t="s">
        <v>21</v>
      </c>
      <c r="D7" s="11">
        <v>11.98</v>
      </c>
      <c r="E7" s="32">
        <v>1</v>
      </c>
      <c r="F7" s="33">
        <f t="shared" si="0"/>
        <v>11.98</v>
      </c>
      <c r="G7" s="37">
        <f>ROUND(F7/6,2)</f>
        <v>2</v>
      </c>
    </row>
    <row r="8" spans="1:7" ht="15" x14ac:dyDescent="0.25">
      <c r="A8" s="201"/>
      <c r="B8" s="9" t="s">
        <v>9</v>
      </c>
      <c r="C8" s="10" t="s">
        <v>23</v>
      </c>
      <c r="D8" s="11">
        <v>5</v>
      </c>
      <c r="E8" s="32">
        <v>6</v>
      </c>
      <c r="F8" s="33">
        <f t="shared" si="0"/>
        <v>30</v>
      </c>
      <c r="G8" s="37">
        <f>ROUND(F8/6,2)</f>
        <v>5</v>
      </c>
    </row>
    <row r="9" spans="1:7" ht="15" x14ac:dyDescent="0.25">
      <c r="A9" s="201"/>
      <c r="B9" s="9" t="s">
        <v>9</v>
      </c>
      <c r="C9" s="10" t="s">
        <v>29</v>
      </c>
      <c r="D9" s="11">
        <v>90</v>
      </c>
      <c r="E9" s="32">
        <v>2</v>
      </c>
      <c r="F9" s="33">
        <f t="shared" si="0"/>
        <v>180</v>
      </c>
      <c r="G9" s="37">
        <f>ROUND(F9/12,2)</f>
        <v>15</v>
      </c>
    </row>
    <row r="10" spans="1:7" ht="15" x14ac:dyDescent="0.25">
      <c r="A10" s="201"/>
      <c r="B10" s="9" t="s">
        <v>9</v>
      </c>
      <c r="C10" s="10" t="s">
        <v>30</v>
      </c>
      <c r="D10" s="11">
        <v>10.25</v>
      </c>
      <c r="E10" s="32">
        <v>1</v>
      </c>
      <c r="F10" s="33">
        <f t="shared" si="0"/>
        <v>10.25</v>
      </c>
      <c r="G10" s="37">
        <f>ROUND(F10/6,2)</f>
        <v>1.71</v>
      </c>
    </row>
    <row r="11" spans="1:7" ht="15" x14ac:dyDescent="0.25">
      <c r="A11" s="201"/>
      <c r="B11" s="9" t="s">
        <v>9</v>
      </c>
      <c r="C11" s="10" t="s">
        <v>203</v>
      </c>
      <c r="D11" s="11">
        <v>20</v>
      </c>
      <c r="E11" s="32">
        <v>1</v>
      </c>
      <c r="F11" s="33">
        <f t="shared" si="0"/>
        <v>20</v>
      </c>
      <c r="G11" s="37">
        <f>ROUND(F11/12,2)</f>
        <v>1.67</v>
      </c>
    </row>
    <row r="12" spans="1:7" ht="15" x14ac:dyDescent="0.25">
      <c r="A12" s="201"/>
      <c r="B12" s="9" t="s">
        <v>9</v>
      </c>
      <c r="C12" s="10" t="s">
        <v>31</v>
      </c>
      <c r="D12" s="11">
        <v>75</v>
      </c>
      <c r="E12" s="32">
        <v>1</v>
      </c>
      <c r="F12" s="33">
        <f t="shared" si="0"/>
        <v>75</v>
      </c>
      <c r="G12" s="37">
        <f>ROUND(F12/12,2)</f>
        <v>6.25</v>
      </c>
    </row>
    <row r="13" spans="1:7" ht="15" x14ac:dyDescent="0.25">
      <c r="A13" s="201"/>
      <c r="B13" s="9" t="s">
        <v>9</v>
      </c>
      <c r="C13" s="10" t="s">
        <v>32</v>
      </c>
      <c r="D13" s="11">
        <v>10</v>
      </c>
      <c r="E13" s="32">
        <v>1</v>
      </c>
      <c r="F13" s="33">
        <f t="shared" si="0"/>
        <v>10</v>
      </c>
      <c r="G13" s="37">
        <f>ROUND(F13/12,2)</f>
        <v>0.83</v>
      </c>
    </row>
    <row r="14" spans="1:7" ht="15" customHeight="1" thickBot="1" x14ac:dyDescent="0.25">
      <c r="A14" s="202" t="s">
        <v>49</v>
      </c>
      <c r="B14" s="203"/>
      <c r="C14" s="203"/>
      <c r="D14" s="203"/>
      <c r="E14" s="203"/>
      <c r="F14" s="204"/>
      <c r="G14" s="147">
        <f>SUM(G5:G13)</f>
        <v>57.8</v>
      </c>
    </row>
    <row r="15" spans="1:7" ht="18" customHeight="1" thickBot="1" x14ac:dyDescent="0.3">
      <c r="A15" s="150"/>
      <c r="B15" s="12"/>
      <c r="C15" s="5"/>
      <c r="D15" s="13"/>
      <c r="E15" s="14"/>
      <c r="F15" s="14"/>
      <c r="G15" s="151"/>
    </row>
    <row r="16" spans="1:7" ht="15.75" customHeight="1" thickBot="1" x14ac:dyDescent="0.25">
      <c r="A16" s="197" t="s">
        <v>50</v>
      </c>
      <c r="B16" s="198"/>
      <c r="C16" s="198"/>
      <c r="D16" s="198"/>
      <c r="E16" s="198"/>
      <c r="F16" s="198"/>
      <c r="G16" s="199"/>
    </row>
    <row r="17" spans="1:9" ht="36" x14ac:dyDescent="0.2">
      <c r="A17" s="34" t="s">
        <v>0</v>
      </c>
      <c r="B17" s="141" t="s">
        <v>22</v>
      </c>
      <c r="C17" s="15" t="s">
        <v>1</v>
      </c>
      <c r="D17" s="35" t="s">
        <v>47</v>
      </c>
      <c r="E17" s="15" t="s">
        <v>51</v>
      </c>
      <c r="F17" s="8" t="s">
        <v>187</v>
      </c>
      <c r="G17" s="146" t="s">
        <v>186</v>
      </c>
    </row>
    <row r="18" spans="1:9" ht="15" x14ac:dyDescent="0.25">
      <c r="A18" s="192" t="s">
        <v>2</v>
      </c>
      <c r="B18" s="9" t="s">
        <v>9</v>
      </c>
      <c r="C18" s="10" t="s">
        <v>24</v>
      </c>
      <c r="D18" s="16">
        <v>14</v>
      </c>
      <c r="E18" s="32">
        <v>1</v>
      </c>
      <c r="F18" s="33">
        <f>ROUND(D18*E18,2)</f>
        <v>14</v>
      </c>
      <c r="G18" s="37">
        <f>ROUND(((F18/12)/4),2)</f>
        <v>0.28999999999999998</v>
      </c>
    </row>
    <row r="19" spans="1:9" ht="15" x14ac:dyDescent="0.25">
      <c r="A19" s="193"/>
      <c r="B19" s="9" t="s">
        <v>9</v>
      </c>
      <c r="C19" s="10" t="s">
        <v>20</v>
      </c>
      <c r="D19" s="16">
        <v>1.8</v>
      </c>
      <c r="E19" s="32">
        <v>8</v>
      </c>
      <c r="F19" s="33">
        <f t="shared" ref="F19:F20" si="1">ROUND(D19*E19,2)</f>
        <v>14.4</v>
      </c>
      <c r="G19" s="37">
        <f>ROUND(((F19/12)/4),2)</f>
        <v>0.3</v>
      </c>
    </row>
    <row r="20" spans="1:9" ht="15.75" thickBot="1" x14ac:dyDescent="0.3">
      <c r="A20" s="193"/>
      <c r="B20" s="21" t="s">
        <v>9</v>
      </c>
      <c r="C20" s="38" t="s">
        <v>25</v>
      </c>
      <c r="D20" s="16">
        <v>10</v>
      </c>
      <c r="E20" s="39">
        <v>4</v>
      </c>
      <c r="F20" s="40">
        <f t="shared" si="1"/>
        <v>40</v>
      </c>
      <c r="G20" s="41">
        <f>ROUND(((F20/12)/4),2)</f>
        <v>0.83</v>
      </c>
    </row>
    <row r="21" spans="1:9" ht="13.5" thickBot="1" x14ac:dyDescent="0.25">
      <c r="A21" s="210" t="s">
        <v>49</v>
      </c>
      <c r="B21" s="211"/>
      <c r="C21" s="211"/>
      <c r="D21" s="211"/>
      <c r="E21" s="211"/>
      <c r="F21" s="212"/>
      <c r="G21" s="42">
        <f>SUM(G18:G20)</f>
        <v>1.42</v>
      </c>
    </row>
    <row r="22" spans="1:9" ht="17.25" customHeight="1" thickBot="1" x14ac:dyDescent="0.25">
      <c r="A22" s="152"/>
      <c r="B22" s="153"/>
      <c r="C22" s="153"/>
      <c r="D22" s="153"/>
      <c r="E22" s="153"/>
      <c r="F22" s="153"/>
      <c r="G22" s="154"/>
    </row>
    <row r="23" spans="1:9" ht="15.75" customHeight="1" thickBot="1" x14ac:dyDescent="0.25">
      <c r="A23" s="197" t="s">
        <v>52</v>
      </c>
      <c r="B23" s="198"/>
      <c r="C23" s="198"/>
      <c r="D23" s="198"/>
      <c r="E23" s="198"/>
      <c r="F23" s="198"/>
      <c r="G23" s="199"/>
    </row>
    <row r="24" spans="1:9" ht="36" x14ac:dyDescent="0.2">
      <c r="A24" s="34" t="s">
        <v>0</v>
      </c>
      <c r="B24" s="141" t="s">
        <v>22</v>
      </c>
      <c r="C24" s="15" t="s">
        <v>1</v>
      </c>
      <c r="D24" s="35" t="s">
        <v>47</v>
      </c>
      <c r="E24" s="15" t="s">
        <v>53</v>
      </c>
      <c r="F24" s="8" t="s">
        <v>187</v>
      </c>
      <c r="G24" s="36" t="s">
        <v>48</v>
      </c>
    </row>
    <row r="25" spans="1:9" ht="15" x14ac:dyDescent="0.25">
      <c r="A25" s="192" t="s">
        <v>2</v>
      </c>
      <c r="B25" s="9">
        <v>5</v>
      </c>
      <c r="C25" s="18" t="s">
        <v>33</v>
      </c>
      <c r="D25" s="11">
        <v>265</v>
      </c>
      <c r="E25" s="32">
        <v>1</v>
      </c>
      <c r="F25" s="33">
        <f>ROUND((D25*E25)/B25,2)</f>
        <v>53</v>
      </c>
      <c r="G25" s="37">
        <f>ROUND(((F25/12)/4),2)</f>
        <v>1.1000000000000001</v>
      </c>
    </row>
    <row r="26" spans="1:9" ht="15" x14ac:dyDescent="0.25">
      <c r="A26" s="193"/>
      <c r="B26" s="9" t="s">
        <v>9</v>
      </c>
      <c r="C26" s="18" t="s">
        <v>189</v>
      </c>
      <c r="D26" s="11">
        <v>79.900000000000006</v>
      </c>
      <c r="E26" s="32">
        <v>1</v>
      </c>
      <c r="F26" s="33">
        <f>ROUND((D26*E26),2)</f>
        <v>79.900000000000006</v>
      </c>
      <c r="G26" s="37">
        <f>ROUND((F26/4),2)</f>
        <v>19.98</v>
      </c>
    </row>
    <row r="27" spans="1:9" ht="15" x14ac:dyDescent="0.25">
      <c r="A27" s="193"/>
      <c r="B27" s="21">
        <v>1</v>
      </c>
      <c r="C27" s="38" t="s">
        <v>26</v>
      </c>
      <c r="D27" s="11">
        <v>60</v>
      </c>
      <c r="E27" s="39">
        <v>1</v>
      </c>
      <c r="F27" s="33">
        <f t="shared" ref="F27" si="2">ROUND((D27*E27)/B27,2)</f>
        <v>60</v>
      </c>
      <c r="G27" s="37">
        <f>ROUND(((F27/12)/4),2)</f>
        <v>1.25</v>
      </c>
    </row>
    <row r="28" spans="1:9" ht="13.5" thickBot="1" x14ac:dyDescent="0.25">
      <c r="A28" s="213" t="s">
        <v>49</v>
      </c>
      <c r="B28" s="214"/>
      <c r="C28" s="214"/>
      <c r="D28" s="214"/>
      <c r="E28" s="214"/>
      <c r="F28" s="214"/>
      <c r="G28" s="144">
        <f>SUM(G25:G27)</f>
        <v>22.33</v>
      </c>
      <c r="I28" s="43"/>
    </row>
    <row r="29" spans="1:9" ht="17.25" customHeight="1" thickBot="1" x14ac:dyDescent="0.25">
      <c r="A29" s="152"/>
      <c r="B29" s="153"/>
      <c r="C29" s="153"/>
      <c r="D29" s="153"/>
      <c r="E29" s="153"/>
      <c r="F29" s="153"/>
      <c r="G29" s="154"/>
    </row>
    <row r="30" spans="1:9" ht="15.75" customHeight="1" x14ac:dyDescent="0.2">
      <c r="A30" s="215" t="s">
        <v>55</v>
      </c>
      <c r="B30" s="216"/>
      <c r="C30" s="216"/>
      <c r="D30" s="216"/>
      <c r="E30" s="216"/>
      <c r="F30" s="216"/>
      <c r="G30" s="217"/>
    </row>
    <row r="31" spans="1:9" x14ac:dyDescent="0.2">
      <c r="A31" s="208" t="s">
        <v>56</v>
      </c>
      <c r="B31" s="209"/>
      <c r="C31" s="209"/>
      <c r="D31" s="44" t="s">
        <v>57</v>
      </c>
      <c r="E31" s="44" t="s">
        <v>58</v>
      </c>
      <c r="F31" s="44" t="s">
        <v>204</v>
      </c>
      <c r="G31" s="142" t="s">
        <v>59</v>
      </c>
    </row>
    <row r="32" spans="1:9" ht="15" x14ac:dyDescent="0.25">
      <c r="A32" s="205" t="s">
        <v>192</v>
      </c>
      <c r="B32" s="206"/>
      <c r="C32" s="207"/>
      <c r="D32" s="17">
        <f>G14</f>
        <v>57.8</v>
      </c>
      <c r="E32" s="17">
        <f>G21</f>
        <v>1.42</v>
      </c>
      <c r="F32" s="17">
        <f>$G$28</f>
        <v>22.33</v>
      </c>
      <c r="G32" s="143">
        <f>SUM(D32:F32)</f>
        <v>81.55</v>
      </c>
    </row>
    <row r="33" spans="1:7" ht="15" x14ac:dyDescent="0.25">
      <c r="A33" s="205" t="s">
        <v>193</v>
      </c>
      <c r="B33" s="206"/>
      <c r="C33" s="207"/>
      <c r="D33" s="17">
        <f>G14</f>
        <v>57.8</v>
      </c>
      <c r="E33" s="17">
        <f>G21</f>
        <v>1.42</v>
      </c>
      <c r="F33" s="17">
        <f>$G$28</f>
        <v>22.33</v>
      </c>
      <c r="G33" s="143">
        <f t="shared" ref="G33" si="3">SUM(D33:F33)</f>
        <v>81.55</v>
      </c>
    </row>
  </sheetData>
  <sheetProtection selectLockedCells="1" selectUnlockedCells="1"/>
  <mergeCells count="14">
    <mergeCell ref="A32:C32"/>
    <mergeCell ref="A33:C33"/>
    <mergeCell ref="A31:C31"/>
    <mergeCell ref="A21:F21"/>
    <mergeCell ref="A23:G23"/>
    <mergeCell ref="A25:A27"/>
    <mergeCell ref="A28:F28"/>
    <mergeCell ref="A30:G30"/>
    <mergeCell ref="A18:A20"/>
    <mergeCell ref="A1:G1"/>
    <mergeCell ref="A3:G3"/>
    <mergeCell ref="A5:A13"/>
    <mergeCell ref="A14:F14"/>
    <mergeCell ref="A16:G16"/>
  </mergeCells>
  <printOptions horizontalCentered="1" verticalCentered="1"/>
  <pageMargins left="0.78740157480314965" right="0.78740157480314965" top="0.78740157480314965" bottom="1.0629921259842521" header="0.78740157480314965" footer="0.78740157480314965"/>
  <pageSetup paperSize="9" scale="72" firstPageNumber="4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"/>
  <sheetViews>
    <sheetView showGridLines="0" view="pageBreakPreview" topLeftCell="A160" zoomScaleNormal="106" zoomScaleSheetLayoutView="100" zoomScalePageLayoutView="115" workbookViewId="0">
      <selection activeCell="K178" sqref="K178"/>
    </sheetView>
  </sheetViews>
  <sheetFormatPr defaultColWidth="4.7109375" defaultRowHeight="19.899999999999999" customHeight="1" x14ac:dyDescent="0.2"/>
  <cols>
    <col min="1" max="1" width="2.42578125" style="64" customWidth="1"/>
    <col min="2" max="2" width="2.42578125" style="45" customWidth="1"/>
    <col min="3" max="3" width="7" style="45" customWidth="1"/>
    <col min="4" max="4" width="16.42578125" style="45" customWidth="1"/>
    <col min="5" max="5" width="31.85546875" style="45" customWidth="1"/>
    <col min="6" max="6" width="14.28515625" style="45" customWidth="1"/>
    <col min="7" max="7" width="14.7109375" style="45" customWidth="1"/>
    <col min="8" max="8" width="14.28515625" style="45" customWidth="1"/>
    <col min="9" max="10" width="14.7109375" style="45" customWidth="1"/>
    <col min="11" max="11" width="20.42578125" style="45" customWidth="1"/>
    <col min="12" max="12" width="8.140625" style="45" bestFit="1" customWidth="1"/>
    <col min="13" max="13" width="4.7109375" style="45"/>
    <col min="14" max="14" width="8.140625" style="66" bestFit="1" customWidth="1"/>
    <col min="15" max="16384" width="4.7109375" style="45"/>
  </cols>
  <sheetData>
    <row r="1" spans="2:11" ht="19.899999999999999" customHeight="1" x14ac:dyDescent="0.2">
      <c r="C1" s="226"/>
      <c r="D1" s="226"/>
      <c r="E1" s="226"/>
      <c r="F1" s="226"/>
      <c r="G1" s="226"/>
      <c r="H1" s="226"/>
      <c r="I1" s="226"/>
      <c r="J1" s="155"/>
    </row>
    <row r="2" spans="2:11" ht="19.899999999999999" customHeight="1" x14ac:dyDescent="0.2">
      <c r="C2" s="46"/>
    </row>
    <row r="3" spans="2:11" ht="19.899999999999999" customHeight="1" x14ac:dyDescent="0.2">
      <c r="C3" s="47" t="s">
        <v>60</v>
      </c>
      <c r="D3" s="30"/>
      <c r="E3" s="48"/>
      <c r="F3" s="227" t="s">
        <v>182</v>
      </c>
      <c r="G3" s="227"/>
      <c r="H3" s="227"/>
      <c r="I3" s="227"/>
      <c r="J3" s="24"/>
    </row>
    <row r="4" spans="2:11" ht="19.899999999999999" customHeight="1" x14ac:dyDescent="0.2">
      <c r="B4" s="49"/>
      <c r="C4" s="50" t="s">
        <v>61</v>
      </c>
      <c r="D4" s="50"/>
      <c r="E4" s="228" t="s">
        <v>206</v>
      </c>
      <c r="F4" s="228"/>
      <c r="G4" s="228"/>
      <c r="H4" s="228"/>
      <c r="I4" s="228"/>
      <c r="J4" s="109"/>
    </row>
    <row r="5" spans="2:11" ht="19.899999999999999" customHeight="1" x14ac:dyDescent="0.2">
      <c r="B5" s="51"/>
      <c r="C5" s="50" t="s">
        <v>62</v>
      </c>
      <c r="D5" s="50"/>
      <c r="E5" s="225"/>
      <c r="F5" s="225"/>
      <c r="G5" s="225"/>
      <c r="H5" s="225"/>
      <c r="I5" s="225"/>
      <c r="J5" s="164"/>
    </row>
    <row r="6" spans="2:11" ht="19.899999999999999" customHeight="1" x14ac:dyDescent="0.2">
      <c r="B6" s="51"/>
      <c r="C6" s="229" t="s">
        <v>63</v>
      </c>
      <c r="D6" s="230"/>
      <c r="E6" s="231"/>
      <c r="F6" s="232"/>
      <c r="G6" s="232"/>
      <c r="H6" s="232"/>
      <c r="I6" s="232"/>
      <c r="J6" s="54"/>
    </row>
    <row r="7" spans="2:11" ht="11.25" customHeight="1" x14ac:dyDescent="0.2">
      <c r="B7" s="51"/>
      <c r="C7" s="52"/>
      <c r="D7" s="52"/>
      <c r="E7" s="52"/>
      <c r="F7" s="52"/>
      <c r="G7" s="53"/>
      <c r="H7" s="52"/>
      <c r="I7" s="54"/>
      <c r="J7" s="54"/>
    </row>
    <row r="8" spans="2:11" ht="19.899999999999999" customHeight="1" x14ac:dyDescent="0.2">
      <c r="B8" s="51"/>
      <c r="C8" s="26" t="s">
        <v>64</v>
      </c>
      <c r="D8" s="56"/>
      <c r="E8" s="56"/>
      <c r="F8" s="56"/>
      <c r="G8" s="56"/>
      <c r="H8" s="56"/>
      <c r="I8" s="57"/>
      <c r="J8" s="57"/>
    </row>
    <row r="9" spans="2:11" ht="19.899999999999999" customHeight="1" x14ac:dyDescent="0.2">
      <c r="B9" s="51"/>
      <c r="C9" s="23" t="s">
        <v>3</v>
      </c>
      <c r="D9" s="161" t="s">
        <v>65</v>
      </c>
      <c r="E9" s="162"/>
      <c r="F9" s="162"/>
      <c r="G9" s="162"/>
      <c r="H9" s="162"/>
      <c r="I9" s="58"/>
      <c r="J9" s="165"/>
      <c r="K9" s="59"/>
    </row>
    <row r="10" spans="2:11" ht="19.899999999999999" customHeight="1" x14ac:dyDescent="0.2">
      <c r="B10" s="51"/>
      <c r="C10" s="23" t="s">
        <v>4</v>
      </c>
      <c r="D10" s="161" t="s">
        <v>66</v>
      </c>
      <c r="E10" s="162"/>
      <c r="F10" s="162"/>
      <c r="G10" s="162"/>
      <c r="H10" s="162"/>
      <c r="I10" s="58" t="s">
        <v>183</v>
      </c>
      <c r="J10" s="165"/>
    </row>
    <row r="11" spans="2:11" ht="19.899999999999999" customHeight="1" x14ac:dyDescent="0.2">
      <c r="B11" s="51"/>
      <c r="C11" s="23" t="s">
        <v>5</v>
      </c>
      <c r="D11" s="161" t="s">
        <v>67</v>
      </c>
      <c r="E11" s="162"/>
      <c r="F11" s="162"/>
      <c r="G11" s="162"/>
      <c r="H11" s="162"/>
      <c r="I11" s="156">
        <v>2019</v>
      </c>
      <c r="J11" s="54"/>
    </row>
    <row r="12" spans="2:11" ht="19.899999999999999" customHeight="1" x14ac:dyDescent="0.2">
      <c r="B12" s="51"/>
      <c r="C12" s="23" t="s">
        <v>6</v>
      </c>
      <c r="D12" s="161" t="s">
        <v>68</v>
      </c>
      <c r="E12" s="162"/>
      <c r="F12" s="162"/>
      <c r="G12" s="162"/>
      <c r="H12" s="162"/>
      <c r="I12" s="156">
        <v>6</v>
      </c>
      <c r="J12" s="54"/>
    </row>
    <row r="13" spans="2:11" ht="19.899999999999999" customHeight="1" x14ac:dyDescent="0.2">
      <c r="B13" s="51"/>
      <c r="C13" s="23" t="s">
        <v>8</v>
      </c>
      <c r="D13" s="161" t="s">
        <v>69</v>
      </c>
      <c r="E13" s="162"/>
      <c r="F13" s="162"/>
      <c r="G13" s="162"/>
      <c r="H13" s="162"/>
      <c r="I13" s="156" t="s">
        <v>207</v>
      </c>
      <c r="J13" s="54"/>
    </row>
    <row r="14" spans="2:11" ht="12" customHeight="1" x14ac:dyDescent="0.2">
      <c r="B14" s="51"/>
      <c r="C14" s="54"/>
      <c r="D14" s="54"/>
      <c r="E14" s="54"/>
      <c r="F14" s="54"/>
      <c r="G14" s="52"/>
      <c r="H14" s="54"/>
      <c r="I14" s="54"/>
      <c r="J14" s="54"/>
    </row>
    <row r="15" spans="2:11" ht="19.899999999999999" customHeight="1" x14ac:dyDescent="0.2">
      <c r="B15" s="51"/>
      <c r="C15" s="24" t="s">
        <v>70</v>
      </c>
      <c r="D15" s="24"/>
      <c r="E15" s="24"/>
      <c r="F15" s="24"/>
      <c r="G15" s="52"/>
      <c r="H15" s="24"/>
      <c r="I15" s="54"/>
      <c r="J15" s="54"/>
    </row>
    <row r="16" spans="2:11" ht="27" customHeight="1" x14ac:dyDescent="0.2">
      <c r="C16" s="160" t="s">
        <v>71</v>
      </c>
      <c r="D16" s="163"/>
      <c r="E16" s="163"/>
      <c r="F16" s="163"/>
      <c r="G16" s="163"/>
      <c r="H16" s="157" t="s">
        <v>72</v>
      </c>
      <c r="I16" s="157" t="s">
        <v>184</v>
      </c>
      <c r="J16" s="166"/>
    </row>
    <row r="17" spans="2:11" ht="19.899999999999999" customHeight="1" x14ac:dyDescent="0.2">
      <c r="C17" s="161" t="s">
        <v>194</v>
      </c>
      <c r="D17" s="162"/>
      <c r="E17" s="162"/>
      <c r="F17" s="162"/>
      <c r="G17" s="162"/>
      <c r="H17" s="156" t="s">
        <v>196</v>
      </c>
      <c r="I17" s="156">
        <v>1</v>
      </c>
      <c r="J17" s="54"/>
    </row>
    <row r="18" spans="2:11" ht="19.899999999999999" customHeight="1" x14ac:dyDescent="0.2">
      <c r="C18" s="161" t="s">
        <v>195</v>
      </c>
      <c r="D18" s="162"/>
      <c r="E18" s="162"/>
      <c r="F18" s="162"/>
      <c r="G18" s="162"/>
      <c r="H18" s="156" t="s">
        <v>196</v>
      </c>
      <c r="I18" s="156">
        <v>1</v>
      </c>
      <c r="J18" s="54"/>
    </row>
    <row r="19" spans="2:11" ht="7.5" customHeight="1" x14ac:dyDescent="0.2">
      <c r="C19" s="55"/>
      <c r="D19" s="55"/>
      <c r="E19" s="55"/>
      <c r="F19" s="55"/>
      <c r="G19" s="55"/>
      <c r="H19" s="55"/>
      <c r="I19" s="55"/>
      <c r="J19" s="55"/>
    </row>
    <row r="20" spans="2:11" ht="14.25" customHeight="1" x14ac:dyDescent="0.2">
      <c r="B20" s="49"/>
      <c r="C20" s="60" t="s">
        <v>73</v>
      </c>
      <c r="D20" s="60"/>
      <c r="E20" s="60"/>
      <c r="F20" s="60"/>
      <c r="G20" s="53"/>
      <c r="H20" s="60"/>
      <c r="I20" s="53"/>
      <c r="J20" s="53"/>
    </row>
    <row r="21" spans="2:11" ht="19.899999999999999" customHeight="1" x14ac:dyDescent="0.2">
      <c r="C21" s="60" t="s">
        <v>74</v>
      </c>
      <c r="D21" s="60"/>
      <c r="E21" s="60"/>
      <c r="F21" s="60"/>
      <c r="G21" s="55"/>
      <c r="H21" s="60"/>
      <c r="I21" s="55"/>
      <c r="J21" s="55"/>
    </row>
    <row r="22" spans="2:11" ht="19.899999999999999" customHeight="1" x14ac:dyDescent="0.2">
      <c r="C22" s="227" t="s">
        <v>75</v>
      </c>
      <c r="D22" s="227"/>
      <c r="E22" s="227"/>
      <c r="F22" s="227"/>
      <c r="G22" s="227"/>
      <c r="H22" s="227"/>
      <c r="I22" s="227"/>
      <c r="J22" s="24"/>
    </row>
    <row r="23" spans="2:11" ht="19.899999999999999" customHeight="1" x14ac:dyDescent="0.2">
      <c r="C23" s="61">
        <v>1</v>
      </c>
      <c r="D23" s="161" t="s">
        <v>76</v>
      </c>
      <c r="E23" s="162"/>
      <c r="F23" s="162"/>
      <c r="G23" s="162"/>
      <c r="H23" s="223" t="s">
        <v>77</v>
      </c>
      <c r="I23" s="223"/>
      <c r="J23" s="54"/>
    </row>
    <row r="24" spans="2:11" ht="19.899999999999999" customHeight="1" x14ac:dyDescent="0.2">
      <c r="C24" s="62">
        <v>2</v>
      </c>
      <c r="D24" s="161" t="s">
        <v>78</v>
      </c>
      <c r="E24" s="162"/>
      <c r="F24" s="162"/>
      <c r="G24" s="162"/>
      <c r="H24" s="224">
        <v>1149.22</v>
      </c>
      <c r="I24" s="224"/>
      <c r="J24" s="167"/>
    </row>
    <row r="25" spans="2:11" ht="19.899999999999999" customHeight="1" x14ac:dyDescent="0.2">
      <c r="C25" s="61">
        <v>3</v>
      </c>
      <c r="D25" s="161" t="s">
        <v>79</v>
      </c>
      <c r="E25" s="162"/>
      <c r="F25" s="162"/>
      <c r="G25" s="162"/>
      <c r="H25" s="223" t="s">
        <v>80</v>
      </c>
      <c r="I25" s="223"/>
      <c r="J25" s="54"/>
    </row>
    <row r="26" spans="2:11" ht="19.899999999999999" customHeight="1" x14ac:dyDescent="0.2">
      <c r="C26" s="61">
        <v>4</v>
      </c>
      <c r="D26" s="161" t="s">
        <v>81</v>
      </c>
      <c r="E26" s="162"/>
      <c r="F26" s="162"/>
      <c r="G26" s="162"/>
      <c r="H26" s="225" t="s">
        <v>208</v>
      </c>
      <c r="I26" s="225"/>
      <c r="J26" s="164"/>
    </row>
    <row r="27" spans="2:11" ht="9.75" customHeight="1" x14ac:dyDescent="0.2">
      <c r="C27" s="55"/>
      <c r="D27" s="55"/>
      <c r="E27" s="55"/>
      <c r="F27" s="55"/>
      <c r="G27" s="55"/>
      <c r="H27" s="55"/>
      <c r="I27" s="55"/>
      <c r="J27" s="55"/>
    </row>
    <row r="28" spans="2:11" ht="19.899999999999999" customHeight="1" x14ac:dyDescent="0.2">
      <c r="C28" s="24" t="s">
        <v>82</v>
      </c>
      <c r="D28" s="63"/>
      <c r="E28" s="63"/>
      <c r="F28" s="63"/>
      <c r="G28" s="53"/>
      <c r="H28" s="63"/>
      <c r="I28" s="53"/>
      <c r="J28" s="53"/>
    </row>
    <row r="29" spans="2:11" ht="29.25" customHeight="1" x14ac:dyDescent="0.2">
      <c r="C29" s="65"/>
      <c r="D29" s="233"/>
      <c r="E29" s="234"/>
      <c r="F29" s="235" t="s">
        <v>197</v>
      </c>
      <c r="G29" s="235"/>
      <c r="H29" s="235" t="s">
        <v>198</v>
      </c>
      <c r="I29" s="235"/>
      <c r="J29" s="166"/>
    </row>
    <row r="30" spans="2:11" ht="19.899999999999999" customHeight="1" x14ac:dyDescent="0.2">
      <c r="C30" s="67">
        <v>1</v>
      </c>
      <c r="D30" s="236" t="s">
        <v>83</v>
      </c>
      <c r="E30" s="237"/>
      <c r="F30" s="219" t="s">
        <v>7</v>
      </c>
      <c r="G30" s="220"/>
      <c r="H30" s="220"/>
      <c r="I30" s="222"/>
      <c r="J30" s="168"/>
    </row>
    <row r="31" spans="2:11" ht="19.899999999999999" customHeight="1" x14ac:dyDescent="0.2">
      <c r="C31" s="68" t="s">
        <v>3</v>
      </c>
      <c r="D31" s="238" t="s">
        <v>84</v>
      </c>
      <c r="E31" s="239"/>
      <c r="F31" s="240">
        <f>H24</f>
        <v>1149.22</v>
      </c>
      <c r="G31" s="240"/>
      <c r="H31" s="240">
        <f>H24</f>
        <v>1149.22</v>
      </c>
      <c r="I31" s="240"/>
      <c r="J31" s="169"/>
      <c r="K31" s="59"/>
    </row>
    <row r="32" spans="2:11" ht="19.899999999999999" customHeight="1" x14ac:dyDescent="0.2">
      <c r="C32" s="68" t="s">
        <v>4</v>
      </c>
      <c r="D32" s="238" t="s">
        <v>85</v>
      </c>
      <c r="E32" s="239"/>
      <c r="F32" s="240">
        <f>ROUND(F$31*0.3,2)</f>
        <v>344.77</v>
      </c>
      <c r="G32" s="240"/>
      <c r="H32" s="240">
        <f>ROUND(H$31*0.3,2)</f>
        <v>344.77</v>
      </c>
      <c r="I32" s="240"/>
      <c r="J32" s="169"/>
      <c r="K32" s="139"/>
    </row>
    <row r="33" spans="1:14" ht="19.899999999999999" customHeight="1" x14ac:dyDescent="0.2">
      <c r="C33" s="68" t="s">
        <v>5</v>
      </c>
      <c r="D33" s="238" t="s">
        <v>86</v>
      </c>
      <c r="E33" s="239"/>
      <c r="F33" s="241" t="s">
        <v>9</v>
      </c>
      <c r="G33" s="241"/>
      <c r="H33" s="241" t="s">
        <v>9</v>
      </c>
      <c r="I33" s="241"/>
      <c r="J33" s="170"/>
      <c r="K33" s="140"/>
    </row>
    <row r="34" spans="1:14" ht="20.100000000000001" customHeight="1" x14ac:dyDescent="0.2">
      <c r="C34" s="69" t="s">
        <v>6</v>
      </c>
      <c r="D34" s="242" t="s">
        <v>87</v>
      </c>
      <c r="E34" s="243"/>
      <c r="F34" s="241" t="s">
        <v>9</v>
      </c>
      <c r="G34" s="241"/>
      <c r="H34" s="241">
        <f>ROUND((H31+H32)*0.5833*0.2,2)</f>
        <v>174.29</v>
      </c>
      <c r="I34" s="241"/>
      <c r="J34" s="170"/>
      <c r="K34" s="59"/>
      <c r="L34" s="66"/>
    </row>
    <row r="35" spans="1:14" ht="19.899999999999999" customHeight="1" x14ac:dyDescent="0.2">
      <c r="C35" s="69" t="s">
        <v>8</v>
      </c>
      <c r="D35" s="238" t="s">
        <v>88</v>
      </c>
      <c r="E35" s="239"/>
      <c r="F35" s="241" t="s">
        <v>9</v>
      </c>
      <c r="G35" s="241"/>
      <c r="H35" s="241">
        <f>ROUND((H31+H32)*0.0833*1.2,2)</f>
        <v>149.34</v>
      </c>
      <c r="I35" s="241"/>
      <c r="J35" s="170"/>
      <c r="K35" s="59"/>
    </row>
    <row r="36" spans="1:14" ht="19.899999999999999" customHeight="1" x14ac:dyDescent="0.2">
      <c r="C36" s="69" t="s">
        <v>89</v>
      </c>
      <c r="D36" s="242" t="s">
        <v>90</v>
      </c>
      <c r="E36" s="243"/>
      <c r="F36" s="241" t="s">
        <v>9</v>
      </c>
      <c r="G36" s="241"/>
      <c r="H36" s="241" t="s">
        <v>9</v>
      </c>
      <c r="I36" s="241"/>
      <c r="J36" s="170"/>
      <c r="K36" s="59"/>
    </row>
    <row r="37" spans="1:14" ht="18" customHeight="1" x14ac:dyDescent="0.2">
      <c r="C37" s="68" t="s">
        <v>91</v>
      </c>
      <c r="D37" s="238" t="s">
        <v>92</v>
      </c>
      <c r="E37" s="239"/>
      <c r="F37" s="241" t="s">
        <v>9</v>
      </c>
      <c r="G37" s="241"/>
      <c r="H37" s="241" t="s">
        <v>9</v>
      </c>
      <c r="I37" s="241"/>
      <c r="J37" s="170"/>
    </row>
    <row r="38" spans="1:14" ht="19.899999999999999" customHeight="1" x14ac:dyDescent="0.2">
      <c r="C38" s="233" t="s">
        <v>93</v>
      </c>
      <c r="D38" s="244"/>
      <c r="E38" s="234"/>
      <c r="F38" s="245">
        <f>SUM(F31:G37)</f>
        <v>1493.99</v>
      </c>
      <c r="G38" s="245"/>
      <c r="H38" s="245">
        <f>SUM(H31:I37)</f>
        <v>1817.62</v>
      </c>
      <c r="I38" s="245"/>
      <c r="J38" s="171"/>
    </row>
    <row r="39" spans="1:14" s="70" customFormat="1" ht="12.75" customHeight="1" x14ac:dyDescent="0.2">
      <c r="A39" s="64"/>
      <c r="C39" s="71"/>
      <c r="D39" s="72"/>
      <c r="E39" s="72"/>
      <c r="F39" s="72"/>
      <c r="G39" s="72"/>
      <c r="H39" s="72"/>
      <c r="I39" s="72"/>
      <c r="J39" s="72"/>
      <c r="K39" s="73"/>
      <c r="N39" s="74"/>
    </row>
    <row r="40" spans="1:14" s="70" customFormat="1" ht="10.5" customHeight="1" x14ac:dyDescent="0.2">
      <c r="A40" s="64"/>
      <c r="C40" s="24" t="s">
        <v>35</v>
      </c>
      <c r="D40" s="72"/>
      <c r="E40" s="72"/>
      <c r="F40" s="72"/>
      <c r="G40" s="72"/>
      <c r="H40" s="72"/>
      <c r="I40" s="72"/>
      <c r="J40" s="72"/>
      <c r="K40" s="73"/>
      <c r="N40" s="74"/>
    </row>
    <row r="41" spans="1:14" s="70" customFormat="1" ht="19.899999999999999" customHeight="1" x14ac:dyDescent="0.2">
      <c r="A41" s="64"/>
      <c r="C41" s="27" t="s">
        <v>94</v>
      </c>
      <c r="D41" s="72"/>
      <c r="E41" s="72"/>
      <c r="F41" s="72"/>
      <c r="G41" s="72"/>
      <c r="H41" s="72"/>
      <c r="I41" s="72"/>
      <c r="J41" s="72"/>
      <c r="K41" s="73"/>
      <c r="N41" s="74"/>
    </row>
    <row r="42" spans="1:14" s="70" customFormat="1" ht="26.25" customHeight="1" x14ac:dyDescent="0.2">
      <c r="A42" s="64"/>
      <c r="C42" s="50"/>
      <c r="D42" s="231"/>
      <c r="E42" s="232"/>
      <c r="F42" s="235" t="str">
        <f>$F$29</f>
        <v>12x36 Diurno (seg-dom) Desarmado</v>
      </c>
      <c r="G42" s="235"/>
      <c r="H42" s="235" t="str">
        <f>$H$29</f>
        <v>12x36 Noturno (seg-dom) Desarmado</v>
      </c>
      <c r="I42" s="235"/>
      <c r="J42" s="166"/>
      <c r="K42" s="73"/>
      <c r="N42" s="74"/>
    </row>
    <row r="43" spans="1:14" s="70" customFormat="1" ht="19.899999999999999" customHeight="1" x14ac:dyDescent="0.2">
      <c r="A43" s="64"/>
      <c r="C43" s="25" t="s">
        <v>95</v>
      </c>
      <c r="D43" s="249" t="s">
        <v>96</v>
      </c>
      <c r="E43" s="250"/>
      <c r="F43" s="75" t="s">
        <v>97</v>
      </c>
      <c r="G43" s="76" t="s">
        <v>7</v>
      </c>
      <c r="H43" s="75" t="s">
        <v>97</v>
      </c>
      <c r="I43" s="76" t="s">
        <v>7</v>
      </c>
      <c r="J43" s="171"/>
      <c r="K43" s="73"/>
      <c r="N43" s="74"/>
    </row>
    <row r="44" spans="1:14" s="70" customFormat="1" ht="19.899999999999999" customHeight="1" x14ac:dyDescent="0.2">
      <c r="A44" s="64"/>
      <c r="C44" s="23" t="s">
        <v>3</v>
      </c>
      <c r="D44" s="229" t="s">
        <v>98</v>
      </c>
      <c r="E44" s="230"/>
      <c r="F44" s="77">
        <f>100%/12</f>
        <v>8.3299999999999999E-2</v>
      </c>
      <c r="G44" s="78">
        <f>ROUND(F$38*$F$44,2)</f>
        <v>124.45</v>
      </c>
      <c r="H44" s="77">
        <v>8.3299999999999999E-2</v>
      </c>
      <c r="I44" s="78">
        <f>ROUND(H$38*H44,2)</f>
        <v>151.41</v>
      </c>
      <c r="J44" s="172"/>
      <c r="N44" s="74"/>
    </row>
    <row r="45" spans="1:14" s="70" customFormat="1" ht="19.899999999999999" customHeight="1" x14ac:dyDescent="0.2">
      <c r="A45" s="64"/>
      <c r="C45" s="23" t="s">
        <v>4</v>
      </c>
      <c r="D45" s="229" t="s">
        <v>99</v>
      </c>
      <c r="E45" s="230"/>
      <c r="F45" s="77">
        <f>(1/3)/12</f>
        <v>2.7799999999999998E-2</v>
      </c>
      <c r="G45" s="78">
        <f>ROUND(F$38*$F$45,2)</f>
        <v>41.53</v>
      </c>
      <c r="H45" s="77">
        <f>(1/3)/12</f>
        <v>2.7799999999999998E-2</v>
      </c>
      <c r="I45" s="78">
        <f>ROUND(H$38*H45,2)</f>
        <v>50.53</v>
      </c>
      <c r="J45" s="172"/>
      <c r="K45" s="186"/>
      <c r="N45" s="74"/>
    </row>
    <row r="46" spans="1:14" s="70" customFormat="1" ht="19.899999999999999" customHeight="1" x14ac:dyDescent="0.2">
      <c r="A46" s="64"/>
      <c r="C46" s="219" t="s">
        <v>100</v>
      </c>
      <c r="D46" s="220"/>
      <c r="E46" s="222"/>
      <c r="F46" s="75">
        <f>SUM(F44:F45)</f>
        <v>0.1111</v>
      </c>
      <c r="G46" s="76">
        <f>SUM(G44:G45)</f>
        <v>165.98</v>
      </c>
      <c r="H46" s="75">
        <f t="shared" ref="H46" si="0">SUM(H44:H45)</f>
        <v>0.1111</v>
      </c>
      <c r="I46" s="76">
        <f>SUM(I44:I45)</f>
        <v>201.94</v>
      </c>
      <c r="J46" s="171"/>
      <c r="K46" s="73"/>
      <c r="N46" s="74"/>
    </row>
    <row r="47" spans="1:14" s="70" customFormat="1" ht="27" customHeight="1" x14ac:dyDescent="0.2">
      <c r="A47" s="64"/>
      <c r="C47" s="23" t="s">
        <v>5</v>
      </c>
      <c r="D47" s="251" t="s">
        <v>101</v>
      </c>
      <c r="E47" s="252"/>
      <c r="F47" s="77">
        <f>$F$61</f>
        <v>0.36799999999999999</v>
      </c>
      <c r="G47" s="78">
        <f>ROUND(F47*G46,2)</f>
        <v>61.08</v>
      </c>
      <c r="H47" s="77">
        <f>H61</f>
        <v>0.36799999999999999</v>
      </c>
      <c r="I47" s="78">
        <f>ROUND(H47*I46,2)</f>
        <v>74.31</v>
      </c>
      <c r="J47" s="172"/>
      <c r="K47" s="73"/>
      <c r="N47" s="74"/>
    </row>
    <row r="48" spans="1:14" s="70" customFormat="1" ht="19.899999999999999" customHeight="1" x14ac:dyDescent="0.2">
      <c r="A48" s="64"/>
      <c r="C48" s="219" t="s">
        <v>102</v>
      </c>
      <c r="D48" s="220"/>
      <c r="E48" s="222"/>
      <c r="F48" s="75"/>
      <c r="G48" s="76">
        <f>G46+G47</f>
        <v>227.06</v>
      </c>
      <c r="H48" s="76"/>
      <c r="I48" s="76">
        <f>I46+I47</f>
        <v>276.25</v>
      </c>
      <c r="J48" s="171"/>
      <c r="K48" s="73"/>
      <c r="N48" s="74"/>
    </row>
    <row r="49" spans="1:14" s="70" customFormat="1" ht="15" customHeight="1" x14ac:dyDescent="0.2">
      <c r="A49" s="64"/>
      <c r="C49" s="71"/>
      <c r="D49" s="72"/>
      <c r="E49" s="72"/>
      <c r="F49" s="79"/>
      <c r="G49" s="79"/>
      <c r="H49" s="72"/>
      <c r="I49" s="79"/>
      <c r="J49" s="79"/>
      <c r="K49" s="73"/>
      <c r="N49" s="74"/>
    </row>
    <row r="50" spans="1:14" ht="19.899999999999999" customHeight="1" x14ac:dyDescent="0.2">
      <c r="C50" s="27" t="s">
        <v>103</v>
      </c>
      <c r="D50" s="55"/>
      <c r="E50" s="55"/>
      <c r="F50" s="55"/>
      <c r="G50" s="55"/>
      <c r="H50" s="55"/>
      <c r="I50" s="55"/>
      <c r="J50" s="55"/>
    </row>
    <row r="51" spans="1:14" s="70" customFormat="1" ht="26.25" customHeight="1" x14ac:dyDescent="0.2">
      <c r="A51" s="64"/>
      <c r="C51" s="50"/>
      <c r="D51" s="231"/>
      <c r="E51" s="232"/>
      <c r="F51" s="235" t="str">
        <f>$F$29</f>
        <v>12x36 Diurno (seg-dom) Desarmado</v>
      </c>
      <c r="G51" s="235"/>
      <c r="H51" s="235" t="str">
        <f>$H$29</f>
        <v>12x36 Noturno (seg-dom) Desarmado</v>
      </c>
      <c r="I51" s="235"/>
      <c r="J51" s="166"/>
      <c r="K51" s="73"/>
      <c r="N51" s="74"/>
    </row>
    <row r="52" spans="1:14" ht="23.1" customHeight="1" x14ac:dyDescent="0.2">
      <c r="C52" s="22" t="s">
        <v>104</v>
      </c>
      <c r="D52" s="246" t="s">
        <v>105</v>
      </c>
      <c r="E52" s="246"/>
      <c r="F52" s="80" t="s">
        <v>97</v>
      </c>
      <c r="G52" s="80" t="s">
        <v>7</v>
      </c>
      <c r="H52" s="80" t="s">
        <v>97</v>
      </c>
      <c r="I52" s="80" t="s">
        <v>7</v>
      </c>
      <c r="J52" s="168"/>
    </row>
    <row r="53" spans="1:14" ht="19.5" customHeight="1" x14ac:dyDescent="0.2">
      <c r="C53" s="23" t="s">
        <v>3</v>
      </c>
      <c r="D53" s="247" t="s">
        <v>106</v>
      </c>
      <c r="E53" s="248"/>
      <c r="F53" s="77">
        <v>0.2</v>
      </c>
      <c r="G53" s="78">
        <f t="shared" ref="G53:G60" si="1">ROUND(F$38*F53,2)</f>
        <v>298.8</v>
      </c>
      <c r="H53" s="77">
        <f t="shared" ref="H53:H60" si="2">F53</f>
        <v>0.2</v>
      </c>
      <c r="I53" s="78">
        <f t="shared" ref="I53:I60" si="3">ROUND(H$38*H53,2)</f>
        <v>363.52</v>
      </c>
      <c r="J53" s="172"/>
    </row>
    <row r="54" spans="1:14" ht="19.5" customHeight="1" x14ac:dyDescent="0.2">
      <c r="C54" s="23" t="s">
        <v>4</v>
      </c>
      <c r="D54" s="247" t="s">
        <v>107</v>
      </c>
      <c r="E54" s="248"/>
      <c r="F54" s="77">
        <v>2.5000000000000001E-2</v>
      </c>
      <c r="G54" s="78">
        <f t="shared" si="1"/>
        <v>37.35</v>
      </c>
      <c r="H54" s="77">
        <f t="shared" si="2"/>
        <v>2.5000000000000001E-2</v>
      </c>
      <c r="I54" s="78">
        <f t="shared" si="3"/>
        <v>45.44</v>
      </c>
      <c r="J54" s="172"/>
    </row>
    <row r="55" spans="1:14" ht="19.5" customHeight="1" x14ac:dyDescent="0.2">
      <c r="C55" s="23" t="s">
        <v>5</v>
      </c>
      <c r="D55" s="247" t="s">
        <v>108</v>
      </c>
      <c r="E55" s="248"/>
      <c r="F55" s="77">
        <v>0.03</v>
      </c>
      <c r="G55" s="78">
        <f t="shared" si="1"/>
        <v>44.82</v>
      </c>
      <c r="H55" s="77">
        <f t="shared" si="2"/>
        <v>0.03</v>
      </c>
      <c r="I55" s="78">
        <f t="shared" si="3"/>
        <v>54.53</v>
      </c>
      <c r="J55" s="172"/>
    </row>
    <row r="56" spans="1:14" ht="19.5" customHeight="1" x14ac:dyDescent="0.2">
      <c r="C56" s="23" t="s">
        <v>6</v>
      </c>
      <c r="D56" s="247" t="s">
        <v>109</v>
      </c>
      <c r="E56" s="248"/>
      <c r="F56" s="77">
        <v>1.4999999999999999E-2</v>
      </c>
      <c r="G56" s="78">
        <f t="shared" si="1"/>
        <v>22.41</v>
      </c>
      <c r="H56" s="77">
        <f t="shared" si="2"/>
        <v>1.4999999999999999E-2</v>
      </c>
      <c r="I56" s="78">
        <f t="shared" si="3"/>
        <v>27.26</v>
      </c>
      <c r="J56" s="172"/>
    </row>
    <row r="57" spans="1:14" ht="19.5" customHeight="1" x14ac:dyDescent="0.2">
      <c r="C57" s="23" t="s">
        <v>8</v>
      </c>
      <c r="D57" s="247" t="s">
        <v>110</v>
      </c>
      <c r="E57" s="248"/>
      <c r="F57" s="77">
        <v>0.01</v>
      </c>
      <c r="G57" s="78">
        <f t="shared" si="1"/>
        <v>14.94</v>
      </c>
      <c r="H57" s="77">
        <f t="shared" si="2"/>
        <v>0.01</v>
      </c>
      <c r="I57" s="78">
        <f t="shared" si="3"/>
        <v>18.18</v>
      </c>
      <c r="J57" s="172"/>
    </row>
    <row r="58" spans="1:14" ht="19.5" customHeight="1" x14ac:dyDescent="0.2">
      <c r="C58" s="23" t="s">
        <v>89</v>
      </c>
      <c r="D58" s="247" t="s">
        <v>111</v>
      </c>
      <c r="E58" s="248"/>
      <c r="F58" s="77">
        <v>6.0000000000000001E-3</v>
      </c>
      <c r="G58" s="78">
        <f t="shared" si="1"/>
        <v>8.9600000000000009</v>
      </c>
      <c r="H58" s="77">
        <f t="shared" si="2"/>
        <v>6.0000000000000001E-3</v>
      </c>
      <c r="I58" s="78">
        <f t="shared" si="3"/>
        <v>10.91</v>
      </c>
      <c r="J58" s="172"/>
    </row>
    <row r="59" spans="1:14" ht="19.5" customHeight="1" x14ac:dyDescent="0.2">
      <c r="C59" s="23" t="s">
        <v>91</v>
      </c>
      <c r="D59" s="247" t="s">
        <v>112</v>
      </c>
      <c r="E59" s="248"/>
      <c r="F59" s="77">
        <v>2E-3</v>
      </c>
      <c r="G59" s="78">
        <f t="shared" si="1"/>
        <v>2.99</v>
      </c>
      <c r="H59" s="77">
        <f t="shared" si="2"/>
        <v>2E-3</v>
      </c>
      <c r="I59" s="78">
        <f t="shared" si="3"/>
        <v>3.64</v>
      </c>
      <c r="J59" s="172"/>
    </row>
    <row r="60" spans="1:14" ht="19.5" customHeight="1" x14ac:dyDescent="0.2">
      <c r="C60" s="23" t="s">
        <v>113</v>
      </c>
      <c r="D60" s="247" t="s">
        <v>114</v>
      </c>
      <c r="E60" s="248"/>
      <c r="F60" s="77">
        <v>0.08</v>
      </c>
      <c r="G60" s="78">
        <f t="shared" si="1"/>
        <v>119.52</v>
      </c>
      <c r="H60" s="77">
        <f t="shared" si="2"/>
        <v>0.08</v>
      </c>
      <c r="I60" s="78">
        <f t="shared" si="3"/>
        <v>145.41</v>
      </c>
      <c r="J60" s="172"/>
    </row>
    <row r="61" spans="1:14" ht="19.5" customHeight="1" x14ac:dyDescent="0.2">
      <c r="C61" s="219" t="s">
        <v>59</v>
      </c>
      <c r="D61" s="220"/>
      <c r="E61" s="222"/>
      <c r="F61" s="75">
        <f t="shared" ref="F61" si="4">SUM(F53:F60)</f>
        <v>0.36799999999999999</v>
      </c>
      <c r="G61" s="76">
        <f>SUM(G53:G60)</f>
        <v>549.79</v>
      </c>
      <c r="H61" s="75">
        <f t="shared" ref="H61" si="5">SUM(H53:H60)</f>
        <v>0.36799999999999999</v>
      </c>
      <c r="I61" s="76">
        <f>SUM(I53:I60)</f>
        <v>668.89</v>
      </c>
      <c r="J61" s="171"/>
    </row>
    <row r="62" spans="1:14" ht="19.5" customHeight="1" x14ac:dyDescent="0.2">
      <c r="C62" s="81" t="s">
        <v>115</v>
      </c>
      <c r="D62" s="55"/>
      <c r="E62" s="55"/>
      <c r="F62" s="55"/>
      <c r="G62" s="55"/>
      <c r="H62" s="55"/>
      <c r="I62" s="55"/>
      <c r="J62" s="55"/>
    </row>
    <row r="63" spans="1:14" ht="19.5" customHeight="1" x14ac:dyDescent="0.2">
      <c r="C63" s="81" t="s">
        <v>116</v>
      </c>
      <c r="D63" s="55"/>
      <c r="E63" s="55"/>
      <c r="F63" s="55"/>
      <c r="G63" s="55"/>
      <c r="H63" s="55"/>
      <c r="I63" s="55"/>
      <c r="J63" s="55"/>
    </row>
    <row r="64" spans="1:14" ht="7.5" customHeight="1" x14ac:dyDescent="0.2">
      <c r="C64" s="81"/>
      <c r="D64" s="55"/>
      <c r="E64" s="55"/>
      <c r="F64" s="55"/>
      <c r="G64" s="55"/>
      <c r="H64" s="55"/>
      <c r="I64" s="55"/>
      <c r="J64" s="55"/>
    </row>
    <row r="65" spans="1:14" ht="19.899999999999999" customHeight="1" x14ac:dyDescent="0.2">
      <c r="C65" s="27" t="s">
        <v>34</v>
      </c>
      <c r="D65" s="63"/>
      <c r="E65" s="63"/>
      <c r="F65" s="63"/>
      <c r="G65" s="53"/>
      <c r="H65" s="63"/>
      <c r="I65" s="55"/>
      <c r="J65" s="55"/>
      <c r="K65" s="82"/>
    </row>
    <row r="66" spans="1:14" s="70" customFormat="1" ht="26.25" customHeight="1" x14ac:dyDescent="0.2">
      <c r="A66" s="64"/>
      <c r="C66" s="50"/>
      <c r="D66" s="231"/>
      <c r="E66" s="232"/>
      <c r="F66" s="235" t="str">
        <f>$F$29</f>
        <v>12x36 Diurno (seg-dom) Desarmado</v>
      </c>
      <c r="G66" s="235"/>
      <c r="H66" s="235" t="str">
        <f>$H$29</f>
        <v>12x36 Noturno (seg-dom) Desarmado</v>
      </c>
      <c r="I66" s="235"/>
      <c r="J66" s="166"/>
      <c r="K66" s="73"/>
      <c r="N66" s="74"/>
    </row>
    <row r="67" spans="1:14" ht="19.899999999999999" customHeight="1" x14ac:dyDescent="0.2">
      <c r="C67" s="22" t="s">
        <v>36</v>
      </c>
      <c r="D67" s="249" t="s">
        <v>10</v>
      </c>
      <c r="E67" s="250"/>
      <c r="F67" s="219" t="s">
        <v>7</v>
      </c>
      <c r="G67" s="220"/>
      <c r="H67" s="220"/>
      <c r="I67" s="222"/>
      <c r="J67" s="168"/>
    </row>
    <row r="68" spans="1:14" ht="18" customHeight="1" x14ac:dyDescent="0.2">
      <c r="C68" s="29" t="s">
        <v>3</v>
      </c>
      <c r="D68" s="247" t="s">
        <v>37</v>
      </c>
      <c r="E68" s="253"/>
      <c r="F68" s="240">
        <v>100.52</v>
      </c>
      <c r="G68" s="240"/>
      <c r="H68" s="254">
        <v>100.52</v>
      </c>
      <c r="I68" s="255"/>
      <c r="J68" s="169"/>
    </row>
    <row r="69" spans="1:14" ht="18" customHeight="1" x14ac:dyDescent="0.2">
      <c r="C69" s="156" t="s">
        <v>4</v>
      </c>
      <c r="D69" s="229" t="s">
        <v>38</v>
      </c>
      <c r="E69" s="256"/>
      <c r="F69" s="240">
        <f>18*15-(18*15*0.1)</f>
        <v>243</v>
      </c>
      <c r="G69" s="240"/>
      <c r="H69" s="240">
        <f>18*15-(18*15*0.1)</f>
        <v>243</v>
      </c>
      <c r="I69" s="240"/>
      <c r="J69" s="169"/>
    </row>
    <row r="70" spans="1:14" s="2" customFormat="1" ht="18" customHeight="1" x14ac:dyDescent="0.2">
      <c r="A70" s="1"/>
      <c r="C70" s="29" t="s">
        <v>5</v>
      </c>
      <c r="D70" s="247" t="s">
        <v>190</v>
      </c>
      <c r="E70" s="253"/>
      <c r="F70" s="240">
        <v>47.32</v>
      </c>
      <c r="G70" s="240"/>
      <c r="H70" s="254">
        <v>47.32</v>
      </c>
      <c r="I70" s="255"/>
      <c r="J70" s="169"/>
      <c r="N70" s="83"/>
    </row>
    <row r="71" spans="1:14" ht="18" customHeight="1" x14ac:dyDescent="0.2">
      <c r="C71" s="156" t="s">
        <v>6</v>
      </c>
      <c r="D71" s="229" t="s">
        <v>181</v>
      </c>
      <c r="E71" s="256"/>
      <c r="F71" s="240">
        <v>6</v>
      </c>
      <c r="G71" s="240"/>
      <c r="H71" s="254">
        <v>6</v>
      </c>
      <c r="I71" s="255"/>
      <c r="J71" s="169"/>
    </row>
    <row r="72" spans="1:14" ht="18" customHeight="1" x14ac:dyDescent="0.2">
      <c r="C72" s="156" t="s">
        <v>8</v>
      </c>
      <c r="D72" s="229" t="s">
        <v>92</v>
      </c>
      <c r="E72" s="256"/>
      <c r="F72" s="241" t="s">
        <v>9</v>
      </c>
      <c r="G72" s="241"/>
      <c r="H72" s="260" t="s">
        <v>9</v>
      </c>
      <c r="I72" s="261"/>
      <c r="J72" s="173"/>
    </row>
    <row r="73" spans="1:14" ht="19.899999999999999" customHeight="1" x14ac:dyDescent="0.2">
      <c r="C73" s="219" t="s">
        <v>117</v>
      </c>
      <c r="D73" s="220"/>
      <c r="E73" s="220"/>
      <c r="F73" s="257">
        <f>SUM(F68:G72)</f>
        <v>396.84</v>
      </c>
      <c r="G73" s="257"/>
      <c r="H73" s="258">
        <f>SUM(H68:I72)</f>
        <v>396.84</v>
      </c>
      <c r="I73" s="259"/>
      <c r="J73" s="171"/>
    </row>
    <row r="74" spans="1:14" ht="12.75" customHeight="1" x14ac:dyDescent="0.2">
      <c r="C74" s="81"/>
      <c r="D74" s="55"/>
      <c r="E74" s="55"/>
      <c r="F74" s="55"/>
      <c r="G74" s="55"/>
      <c r="H74" s="55"/>
      <c r="I74" s="55"/>
      <c r="J74" s="55"/>
    </row>
    <row r="75" spans="1:14" ht="19.5" customHeight="1" x14ac:dyDescent="0.2">
      <c r="C75" s="27" t="s">
        <v>118</v>
      </c>
      <c r="D75" s="27"/>
      <c r="E75" s="27"/>
      <c r="F75" s="55"/>
      <c r="G75" s="55"/>
      <c r="H75" s="55"/>
      <c r="I75" s="55"/>
      <c r="J75" s="55"/>
    </row>
    <row r="76" spans="1:14" s="70" customFormat="1" ht="26.25" customHeight="1" x14ac:dyDescent="0.2">
      <c r="A76" s="64"/>
      <c r="C76" s="50"/>
      <c r="D76" s="231"/>
      <c r="E76" s="232"/>
      <c r="F76" s="235" t="str">
        <f>$F$29</f>
        <v>12x36 Diurno (seg-dom) Desarmado</v>
      </c>
      <c r="G76" s="235"/>
      <c r="H76" s="235" t="str">
        <f>$H$29</f>
        <v>12x36 Noturno (seg-dom) Desarmado</v>
      </c>
      <c r="I76" s="235"/>
      <c r="J76" s="166"/>
      <c r="K76" s="73"/>
      <c r="N76" s="74"/>
    </row>
    <row r="77" spans="1:14" ht="18.75" customHeight="1" x14ac:dyDescent="0.2">
      <c r="C77" s="22">
        <v>2</v>
      </c>
      <c r="D77" s="227" t="s">
        <v>119</v>
      </c>
      <c r="E77" s="227"/>
      <c r="F77" s="264" t="s">
        <v>7</v>
      </c>
      <c r="G77" s="265"/>
      <c r="H77" s="265"/>
      <c r="I77" s="266"/>
      <c r="J77" s="174"/>
    </row>
    <row r="78" spans="1:14" ht="19.5" customHeight="1" x14ac:dyDescent="0.2">
      <c r="C78" s="156" t="s">
        <v>95</v>
      </c>
      <c r="D78" s="262" t="s">
        <v>96</v>
      </c>
      <c r="E78" s="262"/>
      <c r="F78" s="263">
        <f>G48</f>
        <v>227.06</v>
      </c>
      <c r="G78" s="263"/>
      <c r="H78" s="263">
        <f>I48</f>
        <v>276.25</v>
      </c>
      <c r="I78" s="263"/>
      <c r="J78" s="172"/>
    </row>
    <row r="79" spans="1:14" ht="19.5" customHeight="1" x14ac:dyDescent="0.2">
      <c r="C79" s="156" t="s">
        <v>104</v>
      </c>
      <c r="D79" s="262" t="s">
        <v>120</v>
      </c>
      <c r="E79" s="262"/>
      <c r="F79" s="263">
        <f>G61</f>
        <v>549.79</v>
      </c>
      <c r="G79" s="263"/>
      <c r="H79" s="263">
        <f>I61</f>
        <v>668.89</v>
      </c>
      <c r="I79" s="263"/>
      <c r="J79" s="172"/>
    </row>
    <row r="80" spans="1:14" ht="19.5" customHeight="1" x14ac:dyDescent="0.2">
      <c r="C80" s="156" t="s">
        <v>36</v>
      </c>
      <c r="D80" s="262" t="s">
        <v>10</v>
      </c>
      <c r="E80" s="262"/>
      <c r="F80" s="263">
        <f>F73</f>
        <v>396.84</v>
      </c>
      <c r="G80" s="263"/>
      <c r="H80" s="263">
        <f>H73</f>
        <v>396.84</v>
      </c>
      <c r="I80" s="263"/>
      <c r="J80" s="172"/>
    </row>
    <row r="81" spans="1:14" ht="19.5" customHeight="1" x14ac:dyDescent="0.2">
      <c r="C81" s="84"/>
      <c r="D81" s="219" t="s">
        <v>59</v>
      </c>
      <c r="E81" s="220"/>
      <c r="F81" s="263">
        <f>SUM(F78:G80)</f>
        <v>1173.69</v>
      </c>
      <c r="G81" s="263"/>
      <c r="H81" s="263">
        <f>SUM(H78:I80)</f>
        <v>1341.98</v>
      </c>
      <c r="I81" s="263"/>
      <c r="J81" s="172"/>
    </row>
    <row r="82" spans="1:14" ht="19.5" customHeight="1" x14ac:dyDescent="0.2">
      <c r="C82" s="81"/>
      <c r="D82" s="55"/>
      <c r="E82" s="55"/>
      <c r="F82" s="55"/>
      <c r="G82" s="55"/>
      <c r="H82" s="55"/>
      <c r="I82" s="55"/>
      <c r="J82" s="55"/>
    </row>
    <row r="83" spans="1:14" ht="19.5" customHeight="1" x14ac:dyDescent="0.2">
      <c r="C83" s="24" t="s">
        <v>39</v>
      </c>
      <c r="D83" s="55"/>
      <c r="E83" s="55"/>
      <c r="F83" s="55"/>
      <c r="G83" s="55"/>
      <c r="H83" s="55"/>
      <c r="I83" s="55"/>
      <c r="J83" s="55"/>
    </row>
    <row r="84" spans="1:14" s="70" customFormat="1" ht="26.25" customHeight="1" x14ac:dyDescent="0.2">
      <c r="A84" s="64"/>
      <c r="C84" s="50"/>
      <c r="D84" s="231"/>
      <c r="E84" s="232"/>
      <c r="F84" s="235" t="str">
        <f>$F$29</f>
        <v>12x36 Diurno (seg-dom) Desarmado</v>
      </c>
      <c r="G84" s="235"/>
      <c r="H84" s="235" t="str">
        <f>$H$29</f>
        <v>12x36 Noturno (seg-dom) Desarmado</v>
      </c>
      <c r="I84" s="235"/>
      <c r="J84" s="166"/>
      <c r="K84" s="73"/>
      <c r="N84" s="74"/>
    </row>
    <row r="85" spans="1:14" ht="19.5" customHeight="1" x14ac:dyDescent="0.2">
      <c r="C85" s="22" t="s">
        <v>40</v>
      </c>
      <c r="D85" s="269" t="s">
        <v>11</v>
      </c>
      <c r="E85" s="270"/>
      <c r="F85" s="76" t="s">
        <v>97</v>
      </c>
      <c r="G85" s="76" t="s">
        <v>7</v>
      </c>
      <c r="H85" s="76" t="s">
        <v>97</v>
      </c>
      <c r="I85" s="76" t="s">
        <v>7</v>
      </c>
      <c r="J85" s="171"/>
    </row>
    <row r="86" spans="1:14" ht="19.5" customHeight="1" x14ac:dyDescent="0.2">
      <c r="C86" s="29" t="s">
        <v>3</v>
      </c>
      <c r="D86" s="268" t="s">
        <v>12</v>
      </c>
      <c r="E86" s="268"/>
      <c r="F86" s="20">
        <v>4.1999999999999997E-3</v>
      </c>
      <c r="G86" s="19">
        <f>ROUND(F$38*$F$86,2)</f>
        <v>6.27</v>
      </c>
      <c r="H86" s="20">
        <v>4.1999999999999997E-3</v>
      </c>
      <c r="I86" s="19">
        <f>ROUND(H$38*$H$86,2)</f>
        <v>7.63</v>
      </c>
      <c r="J86" s="170"/>
    </row>
    <row r="87" spans="1:14" ht="19.5" customHeight="1" x14ac:dyDescent="0.2">
      <c r="C87" s="29" t="s">
        <v>4</v>
      </c>
      <c r="D87" s="268" t="s">
        <v>121</v>
      </c>
      <c r="E87" s="268"/>
      <c r="F87" s="20">
        <f>F86*F60</f>
        <v>2.9999999999999997E-4</v>
      </c>
      <c r="G87" s="19">
        <f>ROUND(F$38*$F$87,2)</f>
        <v>0.45</v>
      </c>
      <c r="H87" s="20">
        <f>H86*H60</f>
        <v>2.9999999999999997E-4</v>
      </c>
      <c r="I87" s="19">
        <f>ROUND(H$38*$H$87,2)</f>
        <v>0.55000000000000004</v>
      </c>
      <c r="J87" s="170"/>
    </row>
    <row r="88" spans="1:14" ht="21.75" customHeight="1" x14ac:dyDescent="0.2">
      <c r="C88" s="29" t="s">
        <v>5</v>
      </c>
      <c r="D88" s="268" t="s">
        <v>122</v>
      </c>
      <c r="E88" s="268"/>
      <c r="F88" s="90">
        <f>((0.08*0.4)+(0.08*0.1))*0.5</f>
        <v>0.02</v>
      </c>
      <c r="G88" s="19">
        <f>ROUND(F$38*$F$88,2)</f>
        <v>29.88</v>
      </c>
      <c r="H88" s="90">
        <f>F88</f>
        <v>0.02</v>
      </c>
      <c r="I88" s="19">
        <f>ROUND(H$38*$H$88,2)</f>
        <v>36.35</v>
      </c>
      <c r="J88" s="170"/>
    </row>
    <row r="89" spans="1:14" ht="19.5" customHeight="1" x14ac:dyDescent="0.2">
      <c r="C89" s="29" t="s">
        <v>6</v>
      </c>
      <c r="D89" s="268" t="s">
        <v>13</v>
      </c>
      <c r="E89" s="268"/>
      <c r="F89" s="20">
        <v>1.9400000000000001E-2</v>
      </c>
      <c r="G89" s="19">
        <f>ROUND(F$38*$F$89,2)</f>
        <v>28.98</v>
      </c>
      <c r="H89" s="20">
        <v>1.9400000000000001E-2</v>
      </c>
      <c r="I89" s="19">
        <f>ROUND(H$38*$H$89,2)</f>
        <v>35.26</v>
      </c>
      <c r="J89" s="170"/>
    </row>
    <row r="90" spans="1:14" ht="22.5" customHeight="1" x14ac:dyDescent="0.2">
      <c r="C90" s="29" t="s">
        <v>8</v>
      </c>
      <c r="D90" s="268" t="s">
        <v>123</v>
      </c>
      <c r="E90" s="268"/>
      <c r="F90" s="20">
        <f>F89*F61</f>
        <v>7.1000000000000004E-3</v>
      </c>
      <c r="G90" s="19">
        <f>ROUND(F$38*$F$90,2)</f>
        <v>10.61</v>
      </c>
      <c r="H90" s="20">
        <f>H89*H61</f>
        <v>7.1000000000000004E-3</v>
      </c>
      <c r="I90" s="19">
        <f>ROUND(H$38*$H$90,2)</f>
        <v>12.91</v>
      </c>
      <c r="J90" s="170"/>
    </row>
    <row r="91" spans="1:14" ht="26.25" customHeight="1" x14ac:dyDescent="0.2">
      <c r="C91" s="29" t="s">
        <v>89</v>
      </c>
      <c r="D91" s="268" t="s">
        <v>124</v>
      </c>
      <c r="E91" s="268"/>
      <c r="F91" s="90">
        <f>((0.08*0.4)+(0.08*0.1))*0.5</f>
        <v>0.02</v>
      </c>
      <c r="G91" s="19">
        <f>ROUND(F$38*$F$91,2)</f>
        <v>29.88</v>
      </c>
      <c r="H91" s="90">
        <f>F91</f>
        <v>0.02</v>
      </c>
      <c r="I91" s="19">
        <f>ROUND(H$38*$H$91,2)</f>
        <v>36.35</v>
      </c>
      <c r="J91" s="170"/>
    </row>
    <row r="92" spans="1:14" ht="19.5" customHeight="1" x14ac:dyDescent="0.2">
      <c r="C92" s="219" t="s">
        <v>59</v>
      </c>
      <c r="D92" s="220"/>
      <c r="E92" s="222"/>
      <c r="F92" s="189">
        <f>SUM(F86:F91)</f>
        <v>7.0999999999999994E-2</v>
      </c>
      <c r="G92" s="85">
        <f t="shared" ref="G92:I92" si="6">SUM(G86:G91)</f>
        <v>106.07</v>
      </c>
      <c r="H92" s="189">
        <f>SUM(H86:H91)</f>
        <v>7.0999999999999994E-2</v>
      </c>
      <c r="I92" s="85">
        <f t="shared" si="6"/>
        <v>129.05000000000001</v>
      </c>
      <c r="J92" s="175"/>
    </row>
    <row r="93" spans="1:14" ht="9" customHeight="1" x14ac:dyDescent="0.2">
      <c r="C93" s="81"/>
      <c r="D93" s="55"/>
      <c r="E93" s="55"/>
      <c r="F93" s="55"/>
      <c r="G93" s="55"/>
      <c r="H93" s="55"/>
      <c r="I93" s="55"/>
      <c r="J93" s="55"/>
    </row>
    <row r="94" spans="1:14" ht="15.75" customHeight="1" x14ac:dyDescent="0.2">
      <c r="C94" s="26" t="s">
        <v>42</v>
      </c>
      <c r="D94" s="55"/>
      <c r="E94" s="55"/>
      <c r="F94" s="55"/>
      <c r="G94" s="55"/>
      <c r="H94" s="55"/>
      <c r="I94" s="55"/>
      <c r="J94" s="55"/>
    </row>
    <row r="95" spans="1:14" ht="15.75" customHeight="1" x14ac:dyDescent="0.2">
      <c r="C95" s="27" t="s">
        <v>43</v>
      </c>
      <c r="D95" s="55"/>
      <c r="E95" s="55"/>
      <c r="F95" s="55"/>
      <c r="G95" s="55"/>
      <c r="H95" s="55"/>
      <c r="I95" s="55"/>
      <c r="J95" s="55"/>
    </row>
    <row r="96" spans="1:14" ht="24.75" customHeight="1" x14ac:dyDescent="0.2">
      <c r="C96" s="50"/>
      <c r="D96" s="231"/>
      <c r="E96" s="232"/>
      <c r="F96" s="235" t="str">
        <f>$F$29</f>
        <v>12x36 Diurno (seg-dom) Desarmado</v>
      </c>
      <c r="G96" s="235"/>
      <c r="H96" s="235" t="str">
        <f>$H$29</f>
        <v>12x36 Noturno (seg-dom) Desarmado</v>
      </c>
      <c r="I96" s="235"/>
      <c r="J96" s="166"/>
    </row>
    <row r="97" spans="3:10" ht="19.5" customHeight="1" x14ac:dyDescent="0.2">
      <c r="C97" s="25" t="s">
        <v>41</v>
      </c>
      <c r="D97" s="267" t="s">
        <v>15</v>
      </c>
      <c r="E97" s="267"/>
      <c r="F97" s="76" t="s">
        <v>97</v>
      </c>
      <c r="G97" s="76" t="s">
        <v>7</v>
      </c>
      <c r="H97" s="76" t="s">
        <v>97</v>
      </c>
      <c r="I97" s="76" t="s">
        <v>7</v>
      </c>
      <c r="J97" s="171"/>
    </row>
    <row r="98" spans="3:10" ht="18" customHeight="1" x14ac:dyDescent="0.2">
      <c r="C98" s="23" t="s">
        <v>3</v>
      </c>
      <c r="D98" s="229" t="s">
        <v>125</v>
      </c>
      <c r="E98" s="230"/>
      <c r="F98" s="77">
        <v>8.3299999999999999E-2</v>
      </c>
      <c r="G98" s="185">
        <f>ROUND(F$38*F98,2)</f>
        <v>124.45</v>
      </c>
      <c r="H98" s="77">
        <v>8.3299999999999999E-2</v>
      </c>
      <c r="I98" s="185">
        <f>ROUND(H$38*H98,2)</f>
        <v>151.41</v>
      </c>
      <c r="J98" s="173"/>
    </row>
    <row r="99" spans="3:10" ht="18" customHeight="1" x14ac:dyDescent="0.2">
      <c r="C99" s="23" t="s">
        <v>4</v>
      </c>
      <c r="D99" s="229" t="s">
        <v>15</v>
      </c>
      <c r="E99" s="230"/>
      <c r="F99" s="20">
        <v>2.8E-3</v>
      </c>
      <c r="G99" s="86">
        <f>ROUND(F$38*F99,2)</f>
        <v>4.18</v>
      </c>
      <c r="H99" s="20">
        <v>2.8E-3</v>
      </c>
      <c r="I99" s="86">
        <f t="shared" ref="I99:I103" si="7">ROUND(H$38*H99,2)</f>
        <v>5.09</v>
      </c>
      <c r="J99" s="173"/>
    </row>
    <row r="100" spans="3:10" ht="18" customHeight="1" x14ac:dyDescent="0.2">
      <c r="C100" s="23" t="s">
        <v>5</v>
      </c>
      <c r="D100" s="229" t="s">
        <v>14</v>
      </c>
      <c r="E100" s="230"/>
      <c r="F100" s="20">
        <v>2.0000000000000001E-4</v>
      </c>
      <c r="G100" s="86">
        <f>ROUND(F$38*F100,2)</f>
        <v>0.3</v>
      </c>
      <c r="H100" s="20">
        <v>2.0000000000000001E-4</v>
      </c>
      <c r="I100" s="86">
        <f t="shared" si="7"/>
        <v>0.36</v>
      </c>
      <c r="J100" s="173"/>
    </row>
    <row r="101" spans="3:10" ht="18" customHeight="1" x14ac:dyDescent="0.2">
      <c r="C101" s="23" t="s">
        <v>6</v>
      </c>
      <c r="D101" s="229" t="s">
        <v>16</v>
      </c>
      <c r="E101" s="230"/>
      <c r="F101" s="20">
        <v>2.9999999999999997E-4</v>
      </c>
      <c r="G101" s="86">
        <f t="shared" ref="G101:G103" si="8">ROUND(F$38*F101,2)</f>
        <v>0.45</v>
      </c>
      <c r="H101" s="20">
        <v>2.9999999999999997E-4</v>
      </c>
      <c r="I101" s="86">
        <f t="shared" si="7"/>
        <v>0.55000000000000004</v>
      </c>
      <c r="J101" s="173"/>
    </row>
    <row r="102" spans="3:10" ht="18" customHeight="1" x14ac:dyDescent="0.2">
      <c r="C102" s="23" t="s">
        <v>8</v>
      </c>
      <c r="D102" s="229" t="s">
        <v>44</v>
      </c>
      <c r="E102" s="230"/>
      <c r="F102" s="20">
        <v>2.9999999999999997E-4</v>
      </c>
      <c r="G102" s="86">
        <f t="shared" si="8"/>
        <v>0.45</v>
      </c>
      <c r="H102" s="20">
        <v>2.9999999999999997E-4</v>
      </c>
      <c r="I102" s="86">
        <f t="shared" si="7"/>
        <v>0.55000000000000004</v>
      </c>
      <c r="J102" s="173"/>
    </row>
    <row r="103" spans="3:10" ht="18" customHeight="1" x14ac:dyDescent="0.2">
      <c r="C103" s="23" t="s">
        <v>89</v>
      </c>
      <c r="D103" s="229" t="s">
        <v>126</v>
      </c>
      <c r="E103" s="230"/>
      <c r="F103" s="20">
        <v>0</v>
      </c>
      <c r="G103" s="86">
        <f t="shared" si="8"/>
        <v>0</v>
      </c>
      <c r="H103" s="20">
        <v>0</v>
      </c>
      <c r="I103" s="86">
        <f t="shared" si="7"/>
        <v>0</v>
      </c>
      <c r="J103" s="173"/>
    </row>
    <row r="104" spans="3:10" ht="18" customHeight="1" x14ac:dyDescent="0.2">
      <c r="C104" s="23"/>
      <c r="D104" s="219" t="s">
        <v>100</v>
      </c>
      <c r="E104" s="222"/>
      <c r="F104" s="87">
        <f t="shared" ref="F104:H104" si="9">SUM(F98:F103)</f>
        <v>8.6900000000000005E-2</v>
      </c>
      <c r="G104" s="88">
        <f t="shared" si="9"/>
        <v>129.83000000000001</v>
      </c>
      <c r="H104" s="89">
        <f t="shared" si="9"/>
        <v>8.6900000000000005E-2</v>
      </c>
      <c r="I104" s="88">
        <f t="shared" ref="I104" si="10">SUM(I98:I103)</f>
        <v>157.96</v>
      </c>
      <c r="J104" s="174"/>
    </row>
    <row r="105" spans="3:10" ht="22.5" customHeight="1" x14ac:dyDescent="0.2">
      <c r="C105" s="23" t="s">
        <v>91</v>
      </c>
      <c r="D105" s="274" t="s">
        <v>127</v>
      </c>
      <c r="E105" s="274"/>
      <c r="F105" s="90">
        <f>$F$61</f>
        <v>0.36799999999999999</v>
      </c>
      <c r="G105" s="78">
        <f>ROUND(F105*G104,2)</f>
        <v>47.78</v>
      </c>
      <c r="H105" s="90">
        <f>$F$61</f>
        <v>0.36799999999999999</v>
      </c>
      <c r="I105" s="78">
        <f>ROUND(H105*I104,2)</f>
        <v>58.13</v>
      </c>
      <c r="J105" s="172"/>
    </row>
    <row r="106" spans="3:10" ht="19.5" customHeight="1" x14ac:dyDescent="0.2">
      <c r="C106" s="219" t="s">
        <v>59</v>
      </c>
      <c r="D106" s="220"/>
      <c r="E106" s="222"/>
      <c r="F106" s="75">
        <f>SUM(F104:F105)</f>
        <v>0.45490000000000003</v>
      </c>
      <c r="G106" s="76">
        <f>SUM(G104:G105)</f>
        <v>177.61</v>
      </c>
      <c r="H106" s="91">
        <f>SUM(H104:H105)</f>
        <v>0.45490000000000003</v>
      </c>
      <c r="I106" s="76">
        <f t="shared" ref="I106" si="11">SUM(I104:I105)</f>
        <v>216.09</v>
      </c>
      <c r="J106" s="171"/>
    </row>
    <row r="107" spans="3:10" ht="8.25" customHeight="1" x14ac:dyDescent="0.2">
      <c r="C107" s="81"/>
      <c r="D107" s="55"/>
      <c r="E107" s="55"/>
      <c r="F107" s="55"/>
      <c r="G107" s="92"/>
      <c r="H107" s="55"/>
      <c r="I107" s="55"/>
      <c r="J107" s="55"/>
    </row>
    <row r="108" spans="3:10" ht="15.75" customHeight="1" x14ac:dyDescent="0.2">
      <c r="C108" s="27" t="s">
        <v>209</v>
      </c>
      <c r="D108" s="55"/>
      <c r="E108" s="55"/>
      <c r="F108" s="55"/>
      <c r="G108" s="55"/>
      <c r="H108" s="55"/>
      <c r="I108" s="55"/>
      <c r="J108" s="55"/>
    </row>
    <row r="109" spans="3:10" ht="24.75" customHeight="1" x14ac:dyDescent="0.2">
      <c r="C109" s="50"/>
      <c r="D109" s="231"/>
      <c r="E109" s="232"/>
      <c r="F109" s="235" t="str">
        <f>$F$29</f>
        <v>12x36 Diurno (seg-dom) Desarmado</v>
      </c>
      <c r="G109" s="235"/>
      <c r="H109" s="235" t="str">
        <f>$H$29</f>
        <v>12x36 Noturno (seg-dom) Desarmado</v>
      </c>
      <c r="I109" s="235"/>
      <c r="J109" s="166"/>
    </row>
    <row r="110" spans="3:10" ht="19.5" customHeight="1" x14ac:dyDescent="0.2">
      <c r="C110" s="25" t="s">
        <v>210</v>
      </c>
      <c r="D110" s="267" t="s">
        <v>211</v>
      </c>
      <c r="E110" s="267"/>
      <c r="F110" s="184" t="s">
        <v>97</v>
      </c>
      <c r="G110" s="184" t="s">
        <v>7</v>
      </c>
      <c r="H110" s="184" t="s">
        <v>97</v>
      </c>
      <c r="I110" s="184" t="s">
        <v>7</v>
      </c>
      <c r="J110" s="171"/>
    </row>
    <row r="111" spans="3:10" ht="18" customHeight="1" x14ac:dyDescent="0.2">
      <c r="C111" s="183" t="s">
        <v>3</v>
      </c>
      <c r="D111" s="229" t="s">
        <v>212</v>
      </c>
      <c r="E111" s="230"/>
      <c r="F111" s="77">
        <v>0</v>
      </c>
      <c r="G111" s="185">
        <f>ROUND(F$38*F111,2)</f>
        <v>0</v>
      </c>
      <c r="H111" s="77">
        <v>0</v>
      </c>
      <c r="I111" s="185">
        <f>ROUND(H$38*H111,2)</f>
        <v>0</v>
      </c>
      <c r="J111" s="173"/>
    </row>
    <row r="112" spans="3:10" ht="19.5" customHeight="1" x14ac:dyDescent="0.2">
      <c r="C112" s="219" t="s">
        <v>59</v>
      </c>
      <c r="D112" s="220"/>
      <c r="E112" s="222"/>
      <c r="F112" s="75">
        <f>SUM(F111)</f>
        <v>0</v>
      </c>
      <c r="G112" s="184">
        <f>SUM(G111)</f>
        <v>0</v>
      </c>
      <c r="H112" s="75">
        <f>SUM(H111)</f>
        <v>0</v>
      </c>
      <c r="I112" s="184">
        <f>SUM(I111)</f>
        <v>0</v>
      </c>
      <c r="J112" s="171"/>
    </row>
    <row r="113" spans="1:14" ht="8.25" customHeight="1" x14ac:dyDescent="0.2">
      <c r="C113" s="81"/>
      <c r="D113" s="55"/>
      <c r="E113" s="55"/>
      <c r="F113" s="55"/>
      <c r="G113" s="92"/>
      <c r="H113" s="55"/>
      <c r="I113" s="55"/>
      <c r="J113" s="55"/>
    </row>
    <row r="114" spans="1:14" ht="19.5" customHeight="1" x14ac:dyDescent="0.2">
      <c r="C114" s="27" t="s">
        <v>213</v>
      </c>
      <c r="D114" s="27"/>
      <c r="E114" s="27"/>
      <c r="F114" s="55"/>
      <c r="G114" s="55"/>
      <c r="H114" s="55"/>
      <c r="I114" s="55"/>
      <c r="J114" s="55"/>
    </row>
    <row r="115" spans="1:14" s="70" customFormat="1" ht="26.25" customHeight="1" x14ac:dyDescent="0.2">
      <c r="A115" s="64"/>
      <c r="C115" s="50"/>
      <c r="D115" s="231"/>
      <c r="E115" s="232"/>
      <c r="F115" s="235" t="str">
        <f>$F$29</f>
        <v>12x36 Diurno (seg-dom) Desarmado</v>
      </c>
      <c r="G115" s="235"/>
      <c r="H115" s="235" t="str">
        <f>$H$29</f>
        <v>12x36 Noturno (seg-dom) Desarmado</v>
      </c>
      <c r="I115" s="235"/>
      <c r="J115" s="166"/>
      <c r="K115" s="73"/>
      <c r="N115" s="74"/>
    </row>
    <row r="116" spans="1:14" ht="18.75" customHeight="1" x14ac:dyDescent="0.2">
      <c r="C116" s="22" t="s">
        <v>214</v>
      </c>
      <c r="D116" s="227" t="s">
        <v>215</v>
      </c>
      <c r="E116" s="227"/>
      <c r="F116" s="264" t="s">
        <v>7</v>
      </c>
      <c r="G116" s="265"/>
      <c r="H116" s="265"/>
      <c r="I116" s="266"/>
      <c r="J116" s="174"/>
    </row>
    <row r="117" spans="1:14" ht="19.5" customHeight="1" x14ac:dyDescent="0.2">
      <c r="C117" s="183" t="s">
        <v>41</v>
      </c>
      <c r="D117" s="262" t="s">
        <v>216</v>
      </c>
      <c r="E117" s="262"/>
      <c r="F117" s="263">
        <f>G106</f>
        <v>177.61</v>
      </c>
      <c r="G117" s="263"/>
      <c r="H117" s="263">
        <f>I106</f>
        <v>216.09</v>
      </c>
      <c r="I117" s="263"/>
      <c r="J117" s="172"/>
    </row>
    <row r="118" spans="1:14" ht="19.5" customHeight="1" x14ac:dyDescent="0.2">
      <c r="C118" s="183" t="s">
        <v>210</v>
      </c>
      <c r="D118" s="262" t="s">
        <v>211</v>
      </c>
      <c r="E118" s="262"/>
      <c r="F118" s="218">
        <f>G112</f>
        <v>0</v>
      </c>
      <c r="G118" s="218"/>
      <c r="H118" s="218">
        <f>I112</f>
        <v>0</v>
      </c>
      <c r="I118" s="218"/>
      <c r="J118" s="172"/>
    </row>
    <row r="119" spans="1:14" ht="19.5" customHeight="1" x14ac:dyDescent="0.2">
      <c r="C119" s="84"/>
      <c r="D119" s="219" t="s">
        <v>59</v>
      </c>
      <c r="E119" s="220"/>
      <c r="F119" s="221">
        <f>SUM(F117:G118)</f>
        <v>177.61</v>
      </c>
      <c r="G119" s="221"/>
      <c r="H119" s="221">
        <f>SUM(H117:I118)</f>
        <v>216.09</v>
      </c>
      <c r="I119" s="221"/>
      <c r="J119" s="172"/>
    </row>
    <row r="120" spans="1:14" ht="19.5" customHeight="1" x14ac:dyDescent="0.2">
      <c r="C120" s="102"/>
      <c r="D120" s="168"/>
      <c r="E120" s="168"/>
      <c r="F120" s="172"/>
      <c r="G120" s="172"/>
      <c r="H120" s="172"/>
      <c r="I120" s="172"/>
      <c r="J120" s="172"/>
    </row>
    <row r="121" spans="1:14" ht="19.5" customHeight="1" x14ac:dyDescent="0.2">
      <c r="C121" s="26" t="s">
        <v>128</v>
      </c>
      <c r="D121" s="55"/>
      <c r="E121" s="55"/>
      <c r="F121" s="55"/>
      <c r="G121" s="55"/>
      <c r="H121" s="55"/>
      <c r="I121" s="55"/>
      <c r="J121" s="55"/>
    </row>
    <row r="122" spans="1:14" ht="29.25" customHeight="1" x14ac:dyDescent="0.2">
      <c r="C122" s="93"/>
      <c r="D122" s="231"/>
      <c r="E122" s="271"/>
      <c r="F122" s="272" t="str">
        <f>$F$29</f>
        <v>12x36 Diurno (seg-dom) Desarmado</v>
      </c>
      <c r="G122" s="273"/>
      <c r="H122" s="272" t="str">
        <f>$H$29</f>
        <v>12x36 Noturno (seg-dom) Desarmado</v>
      </c>
      <c r="I122" s="273"/>
      <c r="J122" s="166"/>
    </row>
    <row r="123" spans="1:14" ht="19.899999999999999" customHeight="1" x14ac:dyDescent="0.2">
      <c r="C123" s="80">
        <v>5</v>
      </c>
      <c r="D123" s="249" t="s">
        <v>129</v>
      </c>
      <c r="E123" s="250"/>
      <c r="F123" s="219" t="s">
        <v>7</v>
      </c>
      <c r="G123" s="220"/>
      <c r="H123" s="220"/>
      <c r="I123" s="222"/>
      <c r="J123" s="168"/>
    </row>
    <row r="124" spans="1:14" ht="17.25" customHeight="1" x14ac:dyDescent="0.2">
      <c r="C124" s="23" t="s">
        <v>3</v>
      </c>
      <c r="D124" s="229" t="s">
        <v>57</v>
      </c>
      <c r="E124" s="230"/>
      <c r="F124" s="218">
        <f>Insumos!D32</f>
        <v>57.8</v>
      </c>
      <c r="G124" s="218"/>
      <c r="H124" s="218">
        <f>Insumos!D33</f>
        <v>57.8</v>
      </c>
      <c r="I124" s="218"/>
      <c r="J124" s="173"/>
    </row>
    <row r="125" spans="1:14" ht="17.25" customHeight="1" x14ac:dyDescent="0.2">
      <c r="C125" s="23" t="s">
        <v>4</v>
      </c>
      <c r="D125" s="229" t="s">
        <v>58</v>
      </c>
      <c r="E125" s="230"/>
      <c r="F125" s="218">
        <f>Insumos!E32</f>
        <v>1.42</v>
      </c>
      <c r="G125" s="218"/>
      <c r="H125" s="218">
        <f>Insumos!E33</f>
        <v>1.42</v>
      </c>
      <c r="I125" s="218"/>
      <c r="J125" s="173"/>
    </row>
    <row r="126" spans="1:14" ht="17.25" customHeight="1" x14ac:dyDescent="0.2">
      <c r="C126" s="23" t="s">
        <v>5</v>
      </c>
      <c r="D126" s="229" t="s">
        <v>130</v>
      </c>
      <c r="E126" s="230"/>
      <c r="F126" s="218">
        <f>Insumos!F32</f>
        <v>22.33</v>
      </c>
      <c r="G126" s="218"/>
      <c r="H126" s="218">
        <f>Insumos!F33</f>
        <v>22.33</v>
      </c>
      <c r="I126" s="218"/>
      <c r="J126" s="173"/>
    </row>
    <row r="127" spans="1:14" ht="17.25" customHeight="1" x14ac:dyDescent="0.2">
      <c r="C127" s="23" t="s">
        <v>6</v>
      </c>
      <c r="D127" s="229" t="s">
        <v>126</v>
      </c>
      <c r="E127" s="230"/>
      <c r="F127" s="218">
        <v>0</v>
      </c>
      <c r="G127" s="218"/>
      <c r="H127" s="260">
        <v>0</v>
      </c>
      <c r="I127" s="261"/>
      <c r="J127" s="173"/>
    </row>
    <row r="128" spans="1:14" ht="19.899999999999999" customHeight="1" x14ac:dyDescent="0.2">
      <c r="C128" s="219" t="s">
        <v>131</v>
      </c>
      <c r="D128" s="220"/>
      <c r="E128" s="222"/>
      <c r="F128" s="245">
        <f>SUM(F124:G127)</f>
        <v>81.55</v>
      </c>
      <c r="G128" s="245"/>
      <c r="H128" s="245">
        <f t="shared" ref="H128" si="12">SUM(H124:I127)</f>
        <v>81.55</v>
      </c>
      <c r="I128" s="245"/>
      <c r="J128" s="171"/>
    </row>
    <row r="129" spans="3:11" ht="19.899999999999999" customHeight="1" x14ac:dyDescent="0.2">
      <c r="C129" s="275" t="s">
        <v>132</v>
      </c>
      <c r="D129" s="275"/>
      <c r="E129" s="275"/>
      <c r="F129" s="275"/>
      <c r="G129" s="55"/>
      <c r="H129" s="55"/>
      <c r="I129" s="53"/>
      <c r="J129" s="53"/>
    </row>
    <row r="130" spans="3:11" ht="19.899999999999999" customHeight="1" x14ac:dyDescent="0.2">
      <c r="C130" s="26" t="s">
        <v>45</v>
      </c>
      <c r="D130" s="55"/>
      <c r="E130" s="55"/>
      <c r="F130" s="55"/>
      <c r="G130" s="55"/>
      <c r="H130" s="55"/>
      <c r="I130" s="55"/>
      <c r="J130" s="55"/>
    </row>
    <row r="131" spans="3:11" ht="27.75" customHeight="1" x14ac:dyDescent="0.2">
      <c r="C131" s="93"/>
      <c r="D131" s="231"/>
      <c r="E131" s="271"/>
      <c r="F131" s="272" t="str">
        <f>$F$29</f>
        <v>12x36 Diurno (seg-dom) Desarmado</v>
      </c>
      <c r="G131" s="273"/>
      <c r="H131" s="272" t="str">
        <f>$H$29</f>
        <v>12x36 Noturno (seg-dom) Desarmado</v>
      </c>
      <c r="I131" s="273"/>
      <c r="J131" s="166"/>
    </row>
    <row r="132" spans="3:11" ht="15.75" customHeight="1" x14ac:dyDescent="0.2">
      <c r="C132" s="28">
        <v>6</v>
      </c>
      <c r="D132" s="249" t="s">
        <v>17</v>
      </c>
      <c r="E132" s="250"/>
      <c r="F132" s="76" t="s">
        <v>97</v>
      </c>
      <c r="G132" s="94" t="s">
        <v>7</v>
      </c>
      <c r="H132" s="76" t="s">
        <v>97</v>
      </c>
      <c r="I132" s="159" t="s">
        <v>7</v>
      </c>
      <c r="J132" s="171"/>
    </row>
    <row r="133" spans="3:11" ht="19.899999999999999" customHeight="1" x14ac:dyDescent="0.2">
      <c r="C133" s="95" t="s">
        <v>3</v>
      </c>
      <c r="D133" s="229" t="s">
        <v>18</v>
      </c>
      <c r="E133" s="230"/>
      <c r="F133" s="75">
        <v>3.1099999999999999E-2</v>
      </c>
      <c r="G133" s="185">
        <f>ROUND(F$154*F$133,2)</f>
        <v>94.32</v>
      </c>
      <c r="H133" s="75">
        <v>3.5000000000000003E-2</v>
      </c>
      <c r="I133" s="185">
        <f>ROUND(H$154*H$133,2)</f>
        <v>125.52</v>
      </c>
      <c r="J133" s="173"/>
    </row>
    <row r="134" spans="3:11" ht="19.899999999999999" customHeight="1" x14ac:dyDescent="0.2">
      <c r="C134" s="95" t="s">
        <v>4</v>
      </c>
      <c r="D134" s="229" t="s">
        <v>19</v>
      </c>
      <c r="E134" s="230"/>
      <c r="F134" s="75">
        <v>0.03</v>
      </c>
      <c r="G134" s="185">
        <f>ROUND((F$154+G133)*F$134,2)</f>
        <v>93.82</v>
      </c>
      <c r="H134" s="75">
        <v>3.1099999999999999E-2</v>
      </c>
      <c r="I134" s="185">
        <f>ROUND((H$154+I133)*H$134,2)</f>
        <v>115.44</v>
      </c>
      <c r="J134" s="173"/>
    </row>
    <row r="135" spans="3:11" ht="13.5" customHeight="1" x14ac:dyDescent="0.2">
      <c r="C135" s="95" t="s">
        <v>5</v>
      </c>
      <c r="D135" s="229" t="s">
        <v>133</v>
      </c>
      <c r="E135" s="230"/>
      <c r="F135" s="75"/>
      <c r="G135" s="185"/>
      <c r="H135" s="75"/>
      <c r="I135" s="86"/>
      <c r="J135" s="173"/>
    </row>
    <row r="136" spans="3:11" ht="19.899999999999999" customHeight="1" x14ac:dyDescent="0.2">
      <c r="C136" s="96" t="s">
        <v>134</v>
      </c>
      <c r="D136" s="229" t="s">
        <v>135</v>
      </c>
      <c r="E136" s="230"/>
      <c r="F136" s="75"/>
      <c r="G136" s="185"/>
      <c r="H136" s="75"/>
      <c r="I136" s="86"/>
      <c r="J136" s="173"/>
    </row>
    <row r="137" spans="3:11" ht="19.899999999999999" customHeight="1" x14ac:dyDescent="0.2">
      <c r="C137" s="96"/>
      <c r="D137" s="229" t="s">
        <v>136</v>
      </c>
      <c r="E137" s="230"/>
      <c r="F137" s="75">
        <v>6.4999999999999997E-3</v>
      </c>
      <c r="G137" s="185">
        <f>ROUND(((($G$133+$G$134+$F$154)/$K$138)*$F137),2)</f>
        <v>22.92</v>
      </c>
      <c r="H137" s="75">
        <f>F137</f>
        <v>6.4999999999999997E-3</v>
      </c>
      <c r="I137" s="185">
        <f>ROUND(((($I$133+$I$134+$H$154)/K$138)*$H137),2)</f>
        <v>27.23</v>
      </c>
      <c r="J137" s="173"/>
      <c r="K137" s="190">
        <f>(F137+F138+F140)</f>
        <v>8.6499999999999994E-2</v>
      </c>
    </row>
    <row r="138" spans="3:11" ht="19.899999999999999" customHeight="1" x14ac:dyDescent="0.2">
      <c r="C138" s="96"/>
      <c r="D138" s="229" t="s">
        <v>137</v>
      </c>
      <c r="E138" s="230"/>
      <c r="F138" s="75">
        <v>0.03</v>
      </c>
      <c r="G138" s="185">
        <f>ROUND(((($G$133+$G$134+$F$154)/$K$138)*$F138),2)</f>
        <v>105.78</v>
      </c>
      <c r="H138" s="75">
        <f>F138</f>
        <v>0.03</v>
      </c>
      <c r="I138" s="185">
        <f>ROUND(((($I$133+$I$134+$H$154)/K$138)*$H138),2)</f>
        <v>125.69</v>
      </c>
      <c r="J138" s="173"/>
      <c r="K138" s="191">
        <f>1-K137</f>
        <v>0.91349999999999998</v>
      </c>
    </row>
    <row r="139" spans="3:11" ht="19.899999999999999" customHeight="1" x14ac:dyDescent="0.2">
      <c r="C139" s="96" t="s">
        <v>138</v>
      </c>
      <c r="D139" s="229" t="s">
        <v>139</v>
      </c>
      <c r="E139" s="230"/>
      <c r="F139" s="75"/>
      <c r="G139" s="185"/>
      <c r="H139" s="75"/>
      <c r="I139" s="86"/>
      <c r="J139" s="173"/>
    </row>
    <row r="140" spans="3:11" ht="19.899999999999999" customHeight="1" x14ac:dyDescent="0.2">
      <c r="C140" s="96"/>
      <c r="D140" s="229" t="s">
        <v>140</v>
      </c>
      <c r="E140" s="230"/>
      <c r="F140" s="75">
        <v>0.05</v>
      </c>
      <c r="G140" s="185">
        <f>ROUND(((($G$133+$G$134+$F$154)/$K$138)*$F140),2)</f>
        <v>176.3</v>
      </c>
      <c r="H140" s="75">
        <f>F140</f>
        <v>0.05</v>
      </c>
      <c r="I140" s="185">
        <f>ROUND(((($I$133+$I$134+$H$154)/K$138)*$H140),2)</f>
        <v>209.48</v>
      </c>
      <c r="J140" s="173"/>
      <c r="K140" s="66"/>
    </row>
    <row r="141" spans="3:11" ht="19.899999999999999" customHeight="1" x14ac:dyDescent="0.2">
      <c r="C141" s="96" t="s">
        <v>141</v>
      </c>
      <c r="D141" s="229" t="s">
        <v>142</v>
      </c>
      <c r="E141" s="230"/>
      <c r="F141" s="75"/>
      <c r="G141" s="185"/>
      <c r="H141" s="75"/>
      <c r="I141" s="86"/>
      <c r="J141" s="173"/>
      <c r="K141" s="66"/>
    </row>
    <row r="142" spans="3:11" ht="19.899999999999999" customHeight="1" x14ac:dyDescent="0.2">
      <c r="C142" s="219" t="s">
        <v>59</v>
      </c>
      <c r="D142" s="220"/>
      <c r="E142" s="222"/>
      <c r="F142" s="75">
        <f t="shared" ref="F142:H142" si="13">F133+F134+F137+F138+F140+F141</f>
        <v>0.14760000000000001</v>
      </c>
      <c r="G142" s="85">
        <f>G133+G134+G137+G138+G140+G141</f>
        <v>493.14</v>
      </c>
      <c r="H142" s="75">
        <f t="shared" si="13"/>
        <v>0.15260000000000001</v>
      </c>
      <c r="I142" s="85">
        <f>I133+I134+I137+I138+I140+I141</f>
        <v>603.36</v>
      </c>
      <c r="J142" s="175"/>
      <c r="K142" s="66"/>
    </row>
    <row r="143" spans="3:11" ht="12.75" customHeight="1" x14ac:dyDescent="0.2">
      <c r="C143" s="97" t="s">
        <v>143</v>
      </c>
      <c r="D143" s="98"/>
      <c r="E143" s="53"/>
      <c r="F143" s="53"/>
      <c r="G143" s="53"/>
      <c r="H143" s="53"/>
      <c r="I143" s="99"/>
      <c r="J143" s="99"/>
    </row>
    <row r="144" spans="3:11" ht="16.5" customHeight="1" x14ac:dyDescent="0.2">
      <c r="C144" s="97" t="s">
        <v>144</v>
      </c>
      <c r="D144" s="98"/>
      <c r="E144" s="53"/>
      <c r="F144" s="53"/>
      <c r="G144" s="53"/>
      <c r="H144" s="53"/>
      <c r="I144" s="99"/>
      <c r="J144" s="99"/>
    </row>
    <row r="145" spans="3:10" ht="12" customHeight="1" x14ac:dyDescent="0.2">
      <c r="C145" s="97"/>
      <c r="D145" s="98"/>
      <c r="E145" s="53"/>
      <c r="F145" s="53"/>
      <c r="G145" s="53"/>
      <c r="H145" s="53"/>
      <c r="I145" s="99"/>
      <c r="J145" s="99"/>
    </row>
    <row r="146" spans="3:10" ht="19.899999999999999" customHeight="1" x14ac:dyDescent="0.2">
      <c r="C146" s="24" t="s">
        <v>145</v>
      </c>
      <c r="D146" s="98"/>
      <c r="E146" s="53"/>
      <c r="F146" s="53"/>
      <c r="G146" s="53"/>
      <c r="H146" s="53"/>
      <c r="I146" s="99"/>
      <c r="J146" s="99"/>
    </row>
    <row r="147" spans="3:10" ht="27.75" customHeight="1" x14ac:dyDescent="0.2">
      <c r="C147" s="50"/>
      <c r="D147" s="231"/>
      <c r="E147" s="232"/>
      <c r="F147" s="235" t="str">
        <f>F29</f>
        <v>12x36 Diurno (seg-dom) Desarmado</v>
      </c>
      <c r="G147" s="235"/>
      <c r="H147" s="235" t="str">
        <f>H29</f>
        <v>12x36 Noturno (seg-dom) Desarmado</v>
      </c>
      <c r="I147" s="235"/>
      <c r="J147" s="166"/>
    </row>
    <row r="148" spans="3:10" ht="28.15" customHeight="1" x14ac:dyDescent="0.2">
      <c r="C148" s="100"/>
      <c r="D148" s="276" t="s">
        <v>146</v>
      </c>
      <c r="E148" s="277"/>
      <c r="F148" s="258" t="s">
        <v>7</v>
      </c>
      <c r="G148" s="281"/>
      <c r="H148" s="281"/>
      <c r="I148" s="259"/>
      <c r="J148" s="171"/>
    </row>
    <row r="149" spans="3:10" ht="19.899999999999999" customHeight="1" x14ac:dyDescent="0.2">
      <c r="C149" s="23" t="s">
        <v>3</v>
      </c>
      <c r="D149" s="278" t="s">
        <v>147</v>
      </c>
      <c r="E149" s="279"/>
      <c r="F149" s="280">
        <f>F38</f>
        <v>1493.99</v>
      </c>
      <c r="G149" s="280"/>
      <c r="H149" s="280">
        <f>H38</f>
        <v>1817.62</v>
      </c>
      <c r="I149" s="280"/>
      <c r="J149" s="176"/>
    </row>
    <row r="150" spans="3:10" ht="19.899999999999999" customHeight="1" x14ac:dyDescent="0.2">
      <c r="C150" s="23" t="s">
        <v>4</v>
      </c>
      <c r="D150" s="278" t="s">
        <v>148</v>
      </c>
      <c r="E150" s="279"/>
      <c r="F150" s="284">
        <f>F81</f>
        <v>1173.69</v>
      </c>
      <c r="G150" s="284"/>
      <c r="H150" s="284">
        <f>H81</f>
        <v>1341.98</v>
      </c>
      <c r="I150" s="284"/>
      <c r="J150" s="106"/>
    </row>
    <row r="151" spans="3:10" ht="25.9" customHeight="1" x14ac:dyDescent="0.2">
      <c r="C151" s="23" t="s">
        <v>5</v>
      </c>
      <c r="D151" s="282" t="s">
        <v>149</v>
      </c>
      <c r="E151" s="283"/>
      <c r="F151" s="280">
        <f>G92</f>
        <v>106.07</v>
      </c>
      <c r="G151" s="280"/>
      <c r="H151" s="280">
        <f>I92</f>
        <v>129.05000000000001</v>
      </c>
      <c r="I151" s="280"/>
      <c r="J151" s="176"/>
    </row>
    <row r="152" spans="3:10" ht="19.899999999999999" customHeight="1" x14ac:dyDescent="0.2">
      <c r="C152" s="23" t="s">
        <v>6</v>
      </c>
      <c r="D152" s="278" t="s">
        <v>150</v>
      </c>
      <c r="E152" s="279"/>
      <c r="F152" s="280">
        <f>F119</f>
        <v>177.61</v>
      </c>
      <c r="G152" s="280"/>
      <c r="H152" s="280">
        <f>H119</f>
        <v>216.09</v>
      </c>
      <c r="I152" s="280"/>
      <c r="J152" s="176"/>
    </row>
    <row r="153" spans="3:10" ht="19.899999999999999" customHeight="1" x14ac:dyDescent="0.2">
      <c r="C153" s="23" t="s">
        <v>8</v>
      </c>
      <c r="D153" s="282" t="s">
        <v>151</v>
      </c>
      <c r="E153" s="283"/>
      <c r="F153" s="285">
        <f>F128</f>
        <v>81.55</v>
      </c>
      <c r="G153" s="286"/>
      <c r="H153" s="285">
        <f>H128</f>
        <v>81.55</v>
      </c>
      <c r="I153" s="286"/>
      <c r="J153" s="176"/>
    </row>
    <row r="154" spans="3:10" ht="19.899999999999999" customHeight="1" x14ac:dyDescent="0.2">
      <c r="C154" s="23"/>
      <c r="D154" s="269" t="s">
        <v>152</v>
      </c>
      <c r="E154" s="270"/>
      <c r="F154" s="258">
        <f>SUM(F149:G153)</f>
        <v>3032.91</v>
      </c>
      <c r="G154" s="259"/>
      <c r="H154" s="258">
        <f t="shared" ref="H154" si="14">SUM(H149:I153)</f>
        <v>3586.29</v>
      </c>
      <c r="I154" s="259"/>
      <c r="J154" s="171"/>
    </row>
    <row r="155" spans="3:10" ht="19.899999999999999" customHeight="1" x14ac:dyDescent="0.2">
      <c r="C155" s="23" t="s">
        <v>8</v>
      </c>
      <c r="D155" s="278" t="s">
        <v>153</v>
      </c>
      <c r="E155" s="279"/>
      <c r="F155" s="280">
        <f>G142</f>
        <v>493.14</v>
      </c>
      <c r="G155" s="280"/>
      <c r="H155" s="280">
        <f t="shared" ref="H155" si="15">I142</f>
        <v>603.36</v>
      </c>
      <c r="I155" s="280"/>
      <c r="J155" s="176"/>
    </row>
    <row r="156" spans="3:10" ht="19.899999999999999" customHeight="1" x14ac:dyDescent="0.2">
      <c r="C156" s="219" t="s">
        <v>154</v>
      </c>
      <c r="D156" s="220"/>
      <c r="E156" s="220"/>
      <c r="F156" s="245">
        <f>SUM(F154:G155)</f>
        <v>3526.05</v>
      </c>
      <c r="G156" s="245"/>
      <c r="H156" s="245">
        <f t="shared" ref="H156" si="16">SUM(H154:I155)</f>
        <v>4189.6499999999996</v>
      </c>
      <c r="I156" s="245"/>
      <c r="J156" s="171"/>
    </row>
    <row r="157" spans="3:10" ht="12" customHeight="1" x14ac:dyDescent="0.2">
      <c r="C157" s="54"/>
      <c r="D157" s="98"/>
      <c r="E157" s="53"/>
      <c r="F157" s="53"/>
      <c r="G157" s="53"/>
      <c r="H157" s="53"/>
      <c r="I157" s="99"/>
      <c r="J157" s="99"/>
    </row>
    <row r="158" spans="3:10" ht="19.899999999999999" customHeight="1" x14ac:dyDescent="0.2">
      <c r="C158" s="24" t="s">
        <v>155</v>
      </c>
      <c r="D158" s="98"/>
      <c r="E158" s="53"/>
      <c r="F158" s="53"/>
      <c r="G158" s="53"/>
      <c r="H158" s="53"/>
      <c r="I158" s="99"/>
      <c r="J158" s="99"/>
    </row>
    <row r="159" spans="3:10" ht="38.25" customHeight="1" x14ac:dyDescent="0.2">
      <c r="C159" s="219" t="s">
        <v>156</v>
      </c>
      <c r="D159" s="220"/>
      <c r="E159" s="222"/>
      <c r="F159" s="179" t="s">
        <v>157</v>
      </c>
      <c r="G159" s="179" t="s">
        <v>158</v>
      </c>
      <c r="H159" s="178" t="s">
        <v>159</v>
      </c>
      <c r="I159" s="178" t="s">
        <v>160</v>
      </c>
      <c r="J159" s="178" t="s">
        <v>161</v>
      </c>
    </row>
    <row r="160" spans="3:10" ht="20.25" customHeight="1" x14ac:dyDescent="0.2">
      <c r="C160" s="274" t="s">
        <v>199</v>
      </c>
      <c r="D160" s="274"/>
      <c r="E160" s="274"/>
      <c r="F160" s="180">
        <f>F156</f>
        <v>3526.05</v>
      </c>
      <c r="G160" s="157">
        <v>2</v>
      </c>
      <c r="H160" s="181">
        <f>F160*G160</f>
        <v>7052.1</v>
      </c>
      <c r="I160" s="157">
        <v>1</v>
      </c>
      <c r="J160" s="177">
        <f>H160*I160</f>
        <v>7052.1</v>
      </c>
    </row>
    <row r="161" spans="1:14" ht="20.25" customHeight="1" x14ac:dyDescent="0.2">
      <c r="C161" s="274" t="s">
        <v>200</v>
      </c>
      <c r="D161" s="274"/>
      <c r="E161" s="274"/>
      <c r="F161" s="180">
        <f>H156</f>
        <v>4189.6499999999996</v>
      </c>
      <c r="G161" s="157">
        <v>2</v>
      </c>
      <c r="H161" s="181">
        <f>F161*G161</f>
        <v>8379.2999999999993</v>
      </c>
      <c r="I161" s="157">
        <v>1</v>
      </c>
      <c r="J161" s="177">
        <f>H161*I161</f>
        <v>8379.2999999999993</v>
      </c>
    </row>
    <row r="162" spans="1:14" ht="19.899999999999999" customHeight="1" x14ac:dyDescent="0.2">
      <c r="C162" s="219" t="s">
        <v>162</v>
      </c>
      <c r="D162" s="220"/>
      <c r="E162" s="220"/>
      <c r="F162" s="220"/>
      <c r="G162" s="220"/>
      <c r="H162" s="222"/>
      <c r="I162" s="158">
        <f>SUM(I160:I161)</f>
        <v>2</v>
      </c>
      <c r="J162" s="182">
        <f>SUM(J160:J161)</f>
        <v>15431.4</v>
      </c>
    </row>
    <row r="163" spans="1:14" s="101" customFormat="1" ht="16.5" customHeight="1" x14ac:dyDescent="0.2">
      <c r="A163" s="64"/>
      <c r="C163" s="102"/>
      <c r="D163" s="102"/>
      <c r="E163" s="102"/>
      <c r="F163" s="102"/>
      <c r="G163" s="103"/>
      <c r="H163" s="102"/>
      <c r="I163" s="104"/>
      <c r="J163" s="104"/>
      <c r="N163" s="105"/>
    </row>
    <row r="164" spans="1:14" ht="19.899999999999999" customHeight="1" x14ac:dyDescent="0.2">
      <c r="C164" s="24" t="s">
        <v>163</v>
      </c>
      <c r="D164" s="98"/>
      <c r="E164" s="53"/>
      <c r="F164" s="53"/>
      <c r="G164" s="53"/>
      <c r="H164" s="53"/>
      <c r="I164" s="106"/>
      <c r="J164" s="106"/>
    </row>
    <row r="165" spans="1:14" ht="19.899999999999999" customHeight="1" x14ac:dyDescent="0.2">
      <c r="C165" s="287" t="s">
        <v>164</v>
      </c>
      <c r="D165" s="287"/>
      <c r="E165" s="287"/>
      <c r="F165" s="287"/>
      <c r="G165" s="287"/>
      <c r="H165" s="287"/>
      <c r="I165" s="287"/>
      <c r="J165" s="158"/>
    </row>
    <row r="166" spans="1:14" ht="19.899999999999999" customHeight="1" x14ac:dyDescent="0.2">
      <c r="C166" s="227" t="s">
        <v>1</v>
      </c>
      <c r="D166" s="227"/>
      <c r="E166" s="227"/>
      <c r="F166" s="227"/>
      <c r="G166" s="227"/>
      <c r="H166" s="227"/>
      <c r="I166" s="227"/>
      <c r="J166" s="158" t="s">
        <v>7</v>
      </c>
    </row>
    <row r="167" spans="1:14" ht="19.899999999999999" customHeight="1" x14ac:dyDescent="0.2">
      <c r="C167" s="156" t="s">
        <v>3</v>
      </c>
      <c r="D167" s="228" t="s">
        <v>165</v>
      </c>
      <c r="E167" s="228"/>
      <c r="F167" s="228"/>
      <c r="G167" s="228"/>
      <c r="H167" s="228"/>
      <c r="I167" s="228"/>
      <c r="J167" s="156"/>
    </row>
    <row r="168" spans="1:14" ht="19.899999999999999" customHeight="1" x14ac:dyDescent="0.2">
      <c r="C168" s="107" t="s">
        <v>166</v>
      </c>
      <c r="D168" s="228" t="str">
        <f>C160</f>
        <v>Vigilância Patrimonial Desarmada 12 x 36h Diurno</v>
      </c>
      <c r="E168" s="228"/>
      <c r="F168" s="228"/>
      <c r="G168" s="228"/>
      <c r="H168" s="228"/>
      <c r="I168" s="228"/>
      <c r="J168" s="177">
        <f>J160</f>
        <v>7052.1</v>
      </c>
    </row>
    <row r="169" spans="1:14" ht="19.899999999999999" customHeight="1" x14ac:dyDescent="0.2">
      <c r="C169" s="107" t="s">
        <v>167</v>
      </c>
      <c r="D169" s="228" t="str">
        <f>C161</f>
        <v>Vigilância Patrimonial Desarmada 12 x 36h Noturno</v>
      </c>
      <c r="E169" s="228"/>
      <c r="F169" s="228"/>
      <c r="G169" s="228"/>
      <c r="H169" s="228"/>
      <c r="I169" s="228"/>
      <c r="J169" s="177">
        <f>J161</f>
        <v>8379.2999999999993</v>
      </c>
    </row>
    <row r="170" spans="1:14" ht="19.899999999999999" customHeight="1" x14ac:dyDescent="0.2">
      <c r="C170" s="156" t="s">
        <v>4</v>
      </c>
      <c r="D170" s="228" t="s">
        <v>168</v>
      </c>
      <c r="E170" s="228"/>
      <c r="F170" s="228"/>
      <c r="G170" s="228"/>
      <c r="H170" s="228"/>
      <c r="I170" s="228"/>
      <c r="J170" s="177">
        <f>SUM(J168:J169)</f>
        <v>15431.4</v>
      </c>
    </row>
    <row r="171" spans="1:14" ht="19.899999999999999" customHeight="1" x14ac:dyDescent="0.2">
      <c r="C171" s="156" t="s">
        <v>5</v>
      </c>
      <c r="D171" s="228" t="s">
        <v>169</v>
      </c>
      <c r="E171" s="228"/>
      <c r="F171" s="228"/>
      <c r="G171" s="228"/>
      <c r="H171" s="228"/>
      <c r="I171" s="228"/>
      <c r="J171" s="177">
        <f>ROUND(J170*6,2)</f>
        <v>92588.4</v>
      </c>
    </row>
    <row r="172" spans="1:14" s="108" customFormat="1" ht="19.899999999999999" customHeight="1" x14ac:dyDescent="0.2">
      <c r="A172" s="64"/>
      <c r="C172" s="97" t="s">
        <v>170</v>
      </c>
      <c r="D172" s="109"/>
      <c r="E172" s="53"/>
      <c r="F172" s="53"/>
      <c r="G172" s="60"/>
      <c r="H172" s="53"/>
      <c r="I172" s="110"/>
      <c r="J172" s="110"/>
      <c r="N172" s="111"/>
    </row>
    <row r="173" spans="1:14" ht="19.899999999999999" customHeight="1" x14ac:dyDescent="0.2">
      <c r="C173" s="55"/>
      <c r="D173" s="55"/>
      <c r="E173" s="55"/>
      <c r="F173" s="55"/>
      <c r="G173" s="55"/>
      <c r="H173" s="55"/>
      <c r="I173" s="55"/>
      <c r="J173" s="55"/>
    </row>
    <row r="174" spans="1:14" ht="19.899999999999999" customHeight="1" x14ac:dyDescent="0.2">
      <c r="C174" s="26" t="s">
        <v>218</v>
      </c>
      <c r="D174" s="55"/>
      <c r="E174" s="55"/>
      <c r="F174" s="55"/>
      <c r="G174" s="55"/>
      <c r="H174" s="55"/>
      <c r="I174" s="55"/>
      <c r="J174" s="55"/>
    </row>
    <row r="175" spans="1:14" ht="19.899999999999999" customHeight="1" x14ac:dyDescent="0.2">
      <c r="C175" s="55"/>
      <c r="D175" s="55"/>
      <c r="E175" s="55"/>
      <c r="F175" s="55"/>
      <c r="G175" s="55"/>
      <c r="H175" s="55"/>
      <c r="I175" s="55"/>
      <c r="J175" s="55"/>
    </row>
    <row r="176" spans="1:14" ht="19.899999999999999" customHeight="1" x14ac:dyDescent="0.2">
      <c r="C176" s="26" t="s">
        <v>219</v>
      </c>
      <c r="D176" s="55"/>
      <c r="E176" s="55"/>
      <c r="F176" s="55"/>
      <c r="G176" s="55"/>
      <c r="H176" s="55"/>
      <c r="I176" s="55"/>
      <c r="J176" s="55"/>
    </row>
    <row r="177" spans="3:10" ht="19.899999999999999" customHeight="1" x14ac:dyDescent="0.2">
      <c r="C177" s="55"/>
      <c r="D177" s="55"/>
      <c r="E177" s="55"/>
      <c r="F177" s="55"/>
      <c r="G177" s="55"/>
      <c r="H177" s="55"/>
      <c r="I177" s="55"/>
      <c r="J177" s="55"/>
    </row>
    <row r="178" spans="3:10" ht="28.5" customHeight="1" x14ac:dyDescent="0.2">
      <c r="C178" s="50"/>
      <c r="D178" s="219" t="s">
        <v>56</v>
      </c>
      <c r="E178" s="220"/>
      <c r="F178" s="220"/>
      <c r="G178" s="222"/>
      <c r="H178" s="179" t="s">
        <v>220</v>
      </c>
      <c r="I178" s="187" t="s">
        <v>221</v>
      </c>
      <c r="J178" s="187" t="s">
        <v>222</v>
      </c>
    </row>
    <row r="179" spans="3:10" ht="26.25" customHeight="1" x14ac:dyDescent="0.2">
      <c r="C179" s="188" t="s">
        <v>223</v>
      </c>
      <c r="D179" s="251" t="s">
        <v>224</v>
      </c>
      <c r="E179" s="294"/>
      <c r="F179" s="294"/>
      <c r="G179" s="252"/>
      <c r="H179" s="177">
        <f>J160</f>
        <v>7052.1</v>
      </c>
      <c r="I179" s="188">
        <v>1</v>
      </c>
      <c r="J179" s="177">
        <f>ROUND(H179*I179,2)</f>
        <v>7052.1</v>
      </c>
    </row>
    <row r="180" spans="3:10" ht="27.75" customHeight="1" x14ac:dyDescent="0.2">
      <c r="C180" s="188" t="s">
        <v>225</v>
      </c>
      <c r="D180" s="251" t="s">
        <v>226</v>
      </c>
      <c r="E180" s="294"/>
      <c r="F180" s="294"/>
      <c r="G180" s="252"/>
      <c r="H180" s="177">
        <f>J161</f>
        <v>8379.2999999999993</v>
      </c>
      <c r="I180" s="188">
        <v>1</v>
      </c>
      <c r="J180" s="177">
        <f>ROUND(H180*I180,2)</f>
        <v>8379.2999999999993</v>
      </c>
    </row>
    <row r="181" spans="3:10" ht="19.899999999999999" customHeight="1" x14ac:dyDescent="0.2">
      <c r="C181" s="295" t="s">
        <v>49</v>
      </c>
      <c r="D181" s="296"/>
      <c r="E181" s="296"/>
      <c r="F181" s="296"/>
      <c r="G181" s="296"/>
      <c r="H181" s="297"/>
      <c r="I181" s="179">
        <f>SUM(I179:J180)</f>
        <v>15433.4</v>
      </c>
      <c r="J181" s="298">
        <f>SUM(J179:J180)</f>
        <v>15431.4</v>
      </c>
    </row>
  </sheetData>
  <sheetProtection selectLockedCells="1" selectUnlockedCells="1"/>
  <mergeCells count="225">
    <mergeCell ref="D178:G178"/>
    <mergeCell ref="D179:G179"/>
    <mergeCell ref="D180:G180"/>
    <mergeCell ref="C181:H181"/>
    <mergeCell ref="D170:I170"/>
    <mergeCell ref="D171:I171"/>
    <mergeCell ref="D169:I169"/>
    <mergeCell ref="C156:E156"/>
    <mergeCell ref="F156:G156"/>
    <mergeCell ref="H156:I156"/>
    <mergeCell ref="C159:E159"/>
    <mergeCell ref="C160:E160"/>
    <mergeCell ref="C161:E161"/>
    <mergeCell ref="C162:H162"/>
    <mergeCell ref="D167:I167"/>
    <mergeCell ref="D168:I168"/>
    <mergeCell ref="C165:I165"/>
    <mergeCell ref="C166:I166"/>
    <mergeCell ref="D153:E153"/>
    <mergeCell ref="F153:G153"/>
    <mergeCell ref="H153:I153"/>
    <mergeCell ref="D152:E152"/>
    <mergeCell ref="F152:G152"/>
    <mergeCell ref="H152:I152"/>
    <mergeCell ref="D155:E155"/>
    <mergeCell ref="F155:G155"/>
    <mergeCell ref="H155:I155"/>
    <mergeCell ref="D154:E154"/>
    <mergeCell ref="F154:G154"/>
    <mergeCell ref="H154:I154"/>
    <mergeCell ref="D148:E148"/>
    <mergeCell ref="D149:E149"/>
    <mergeCell ref="F149:G149"/>
    <mergeCell ref="H149:I149"/>
    <mergeCell ref="F148:I148"/>
    <mergeCell ref="D151:E151"/>
    <mergeCell ref="F151:G151"/>
    <mergeCell ref="H151:I151"/>
    <mergeCell ref="D150:E150"/>
    <mergeCell ref="F150:G150"/>
    <mergeCell ref="H150:I150"/>
    <mergeCell ref="H131:I131"/>
    <mergeCell ref="C128:E128"/>
    <mergeCell ref="F128:G128"/>
    <mergeCell ref="H128:I128"/>
    <mergeCell ref="F147:G147"/>
    <mergeCell ref="H147:I147"/>
    <mergeCell ref="D138:E138"/>
    <mergeCell ref="D139:E139"/>
    <mergeCell ref="D140:E140"/>
    <mergeCell ref="D141:E141"/>
    <mergeCell ref="C142:E142"/>
    <mergeCell ref="D147:E147"/>
    <mergeCell ref="D132:E132"/>
    <mergeCell ref="D133:E133"/>
    <mergeCell ref="D134:E134"/>
    <mergeCell ref="D135:E135"/>
    <mergeCell ref="D136:E136"/>
    <mergeCell ref="D137:E137"/>
    <mergeCell ref="C129:F129"/>
    <mergeCell ref="D131:E131"/>
    <mergeCell ref="F131:G131"/>
    <mergeCell ref="D125:E125"/>
    <mergeCell ref="F125:G125"/>
    <mergeCell ref="H125:I125"/>
    <mergeCell ref="D123:E123"/>
    <mergeCell ref="D124:E124"/>
    <mergeCell ref="F124:G124"/>
    <mergeCell ref="H124:I124"/>
    <mergeCell ref="F123:I123"/>
    <mergeCell ref="D127:E127"/>
    <mergeCell ref="F127:G127"/>
    <mergeCell ref="H127:I127"/>
    <mergeCell ref="D126:E126"/>
    <mergeCell ref="F126:G126"/>
    <mergeCell ref="H126:I126"/>
    <mergeCell ref="C106:E106"/>
    <mergeCell ref="D122:E122"/>
    <mergeCell ref="F122:G122"/>
    <mergeCell ref="H122:I122"/>
    <mergeCell ref="D100:E100"/>
    <mergeCell ref="D101:E101"/>
    <mergeCell ref="D102:E102"/>
    <mergeCell ref="D103:E103"/>
    <mergeCell ref="D104:E104"/>
    <mergeCell ref="D105:E105"/>
    <mergeCell ref="D109:E109"/>
    <mergeCell ref="F109:G109"/>
    <mergeCell ref="H109:I109"/>
    <mergeCell ref="D110:E110"/>
    <mergeCell ref="D111:E111"/>
    <mergeCell ref="D115:E115"/>
    <mergeCell ref="F115:G115"/>
    <mergeCell ref="H115:I115"/>
    <mergeCell ref="D116:E116"/>
    <mergeCell ref="F116:I116"/>
    <mergeCell ref="D117:E117"/>
    <mergeCell ref="F117:G117"/>
    <mergeCell ref="H117:I117"/>
    <mergeCell ref="D118:E118"/>
    <mergeCell ref="D81:E81"/>
    <mergeCell ref="F81:G81"/>
    <mergeCell ref="H81:I81"/>
    <mergeCell ref="H96:I96"/>
    <mergeCell ref="D97:E97"/>
    <mergeCell ref="D98:E98"/>
    <mergeCell ref="D99:E99"/>
    <mergeCell ref="D91:E91"/>
    <mergeCell ref="C92:E92"/>
    <mergeCell ref="D96:E96"/>
    <mergeCell ref="F96:G96"/>
    <mergeCell ref="D85:E85"/>
    <mergeCell ref="D86:E86"/>
    <mergeCell ref="D87:E87"/>
    <mergeCell ref="D88:E88"/>
    <mergeCell ref="D89:E89"/>
    <mergeCell ref="D90:E90"/>
    <mergeCell ref="D84:E84"/>
    <mergeCell ref="F84:G84"/>
    <mergeCell ref="H84:I84"/>
    <mergeCell ref="D77:E77"/>
    <mergeCell ref="D78:E78"/>
    <mergeCell ref="F78:G78"/>
    <mergeCell ref="H78:I78"/>
    <mergeCell ref="D76:E76"/>
    <mergeCell ref="F76:G76"/>
    <mergeCell ref="H76:I76"/>
    <mergeCell ref="F77:I77"/>
    <mergeCell ref="D80:E80"/>
    <mergeCell ref="F80:G80"/>
    <mergeCell ref="H80:I80"/>
    <mergeCell ref="D79:E79"/>
    <mergeCell ref="F79:G79"/>
    <mergeCell ref="H79:I79"/>
    <mergeCell ref="D71:E71"/>
    <mergeCell ref="F71:G71"/>
    <mergeCell ref="H71:I71"/>
    <mergeCell ref="C73:E73"/>
    <mergeCell ref="F73:G73"/>
    <mergeCell ref="H73:I73"/>
    <mergeCell ref="D72:E72"/>
    <mergeCell ref="F72:G72"/>
    <mergeCell ref="H72:I72"/>
    <mergeCell ref="D68:E68"/>
    <mergeCell ref="F68:G68"/>
    <mergeCell ref="H68:I68"/>
    <mergeCell ref="F67:I67"/>
    <mergeCell ref="D70:E70"/>
    <mergeCell ref="F70:G70"/>
    <mergeCell ref="H70:I70"/>
    <mergeCell ref="D69:E69"/>
    <mergeCell ref="F69:G69"/>
    <mergeCell ref="H69:I69"/>
    <mergeCell ref="F66:G66"/>
    <mergeCell ref="H66:I66"/>
    <mergeCell ref="D57:E57"/>
    <mergeCell ref="D58:E58"/>
    <mergeCell ref="D59:E59"/>
    <mergeCell ref="D60:E60"/>
    <mergeCell ref="C61:E61"/>
    <mergeCell ref="D66:E66"/>
    <mergeCell ref="D67:E67"/>
    <mergeCell ref="C38:E38"/>
    <mergeCell ref="F38:G38"/>
    <mergeCell ref="H38:I38"/>
    <mergeCell ref="D52:E52"/>
    <mergeCell ref="D53:E53"/>
    <mergeCell ref="D54:E54"/>
    <mergeCell ref="D55:E55"/>
    <mergeCell ref="D56:E56"/>
    <mergeCell ref="D51:E51"/>
    <mergeCell ref="F51:G51"/>
    <mergeCell ref="H51:I51"/>
    <mergeCell ref="D43:E43"/>
    <mergeCell ref="D44:E44"/>
    <mergeCell ref="D45:E45"/>
    <mergeCell ref="C46:E46"/>
    <mergeCell ref="D47:E47"/>
    <mergeCell ref="C48:E48"/>
    <mergeCell ref="D42:E42"/>
    <mergeCell ref="F42:G42"/>
    <mergeCell ref="H42:I42"/>
    <mergeCell ref="D34:E34"/>
    <mergeCell ref="F34:G34"/>
    <mergeCell ref="H34:I34"/>
    <mergeCell ref="D37:E37"/>
    <mergeCell ref="F37:G37"/>
    <mergeCell ref="H37:I37"/>
    <mergeCell ref="D36:E36"/>
    <mergeCell ref="F36:G36"/>
    <mergeCell ref="H36:I36"/>
    <mergeCell ref="C1:I1"/>
    <mergeCell ref="F3:I3"/>
    <mergeCell ref="E4:I4"/>
    <mergeCell ref="E5:I5"/>
    <mergeCell ref="C6:D6"/>
    <mergeCell ref="E6:I6"/>
    <mergeCell ref="C22:I22"/>
    <mergeCell ref="D29:E29"/>
    <mergeCell ref="F29:G29"/>
    <mergeCell ref="H29:I29"/>
    <mergeCell ref="F118:G118"/>
    <mergeCell ref="H118:I118"/>
    <mergeCell ref="D119:E119"/>
    <mergeCell ref="F119:G119"/>
    <mergeCell ref="H119:I119"/>
    <mergeCell ref="C112:E112"/>
    <mergeCell ref="H23:I23"/>
    <mergeCell ref="H24:I24"/>
    <mergeCell ref="H25:I25"/>
    <mergeCell ref="H26:I26"/>
    <mergeCell ref="F30:I30"/>
    <mergeCell ref="D30:E30"/>
    <mergeCell ref="D31:E31"/>
    <mergeCell ref="F31:G31"/>
    <mergeCell ref="H31:I31"/>
    <mergeCell ref="D33:E33"/>
    <mergeCell ref="F33:G33"/>
    <mergeCell ref="H33:I33"/>
    <mergeCell ref="D32:E32"/>
    <mergeCell ref="F32:G32"/>
    <mergeCell ref="H32:I32"/>
    <mergeCell ref="D35:E35"/>
    <mergeCell ref="F35:G35"/>
    <mergeCell ref="H35:I35"/>
  </mergeCells>
  <printOptions horizontalCentered="1"/>
  <pageMargins left="0.35433070866141736" right="0.23622047244094491" top="0.39370078740157483" bottom="0.39370078740157483" header="0.31496062992125984" footer="0.31496062992125984"/>
  <pageSetup paperSize="9" scale="65" firstPageNumber="47" fitToHeight="0" orientation="portrait" r:id="rId1"/>
  <headerFooter alignWithMargins="0"/>
  <rowBreaks count="1" manualBreakCount="1">
    <brk id="129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tabSelected="1" view="pageBreakPreview" zoomScale="96" zoomScaleNormal="106" zoomScaleSheetLayoutView="96" workbookViewId="0">
      <selection activeCell="D24" sqref="D24"/>
    </sheetView>
  </sheetViews>
  <sheetFormatPr defaultColWidth="11.5703125" defaultRowHeight="15" customHeight="1" x14ac:dyDescent="0.2"/>
  <cols>
    <col min="1" max="1" width="2.42578125" style="112" customWidth="1"/>
    <col min="2" max="2" width="3.85546875" style="112" customWidth="1"/>
    <col min="3" max="3" width="51.28515625" style="112" bestFit="1" customWidth="1"/>
    <col min="4" max="4" width="5.5703125" style="112" customWidth="1"/>
    <col min="5" max="5" width="8.85546875" style="112" bestFit="1" customWidth="1"/>
    <col min="6" max="6" width="16.28515625" style="112" customWidth="1"/>
    <col min="7" max="7" width="18.140625" style="112" customWidth="1"/>
    <col min="8" max="8" width="13.5703125" style="112" customWidth="1"/>
    <col min="9" max="9" width="21.28515625" style="112" customWidth="1"/>
    <col min="10" max="10" width="6.42578125" style="112" customWidth="1"/>
    <col min="11" max="12" width="15.7109375" style="112" customWidth="1"/>
    <col min="13" max="13" width="13" style="112" customWidth="1"/>
    <col min="14" max="14" width="16" style="117" customWidth="1"/>
    <col min="15" max="15" width="10.5703125" style="112" customWidth="1"/>
    <col min="16" max="16" width="15.5703125" style="112" customWidth="1"/>
    <col min="17" max="18" width="11.5703125" style="112"/>
    <col min="19" max="19" width="17.85546875" style="112" customWidth="1"/>
    <col min="20" max="20" width="13" style="112" customWidth="1"/>
    <col min="21" max="16384" width="11.5703125" style="112"/>
  </cols>
  <sheetData>
    <row r="1" spans="1:14" ht="39" customHeight="1" x14ac:dyDescent="0.2">
      <c r="C1" s="291" t="s">
        <v>188</v>
      </c>
      <c r="D1" s="291"/>
      <c r="E1" s="291"/>
      <c r="F1" s="291"/>
      <c r="G1" s="291"/>
      <c r="H1" s="291"/>
      <c r="I1" s="291"/>
      <c r="J1" s="113"/>
      <c r="K1" s="3"/>
      <c r="N1" s="112"/>
    </row>
    <row r="2" spans="1:14" ht="12.75" customHeight="1" x14ac:dyDescent="0.2">
      <c r="C2" s="292" t="s">
        <v>171</v>
      </c>
      <c r="D2" s="292"/>
      <c r="E2" s="292"/>
      <c r="F2" s="292"/>
      <c r="G2" s="292"/>
      <c r="H2" s="292"/>
      <c r="I2" s="292"/>
      <c r="J2" s="114"/>
      <c r="K2" s="3"/>
      <c r="N2" s="112"/>
    </row>
    <row r="3" spans="1:14" ht="11.65" customHeight="1" x14ac:dyDescent="0.2">
      <c r="A3" s="115"/>
      <c r="B3" s="115"/>
      <c r="C3" s="113"/>
      <c r="D3" s="113"/>
      <c r="E3" s="113"/>
      <c r="F3" s="113"/>
      <c r="G3" s="113"/>
      <c r="H3" s="113"/>
      <c r="I3" s="113"/>
      <c r="J3" s="113"/>
      <c r="K3" s="116"/>
      <c r="L3" s="116"/>
      <c r="M3" s="116"/>
    </row>
    <row r="4" spans="1:14" ht="19.350000000000001" customHeight="1" x14ac:dyDescent="0.2">
      <c r="A4" s="115"/>
      <c r="B4" s="115"/>
      <c r="C4" s="113"/>
      <c r="D4" s="113"/>
      <c r="E4" s="113"/>
      <c r="F4" s="113"/>
      <c r="G4" s="113"/>
      <c r="H4" s="113"/>
      <c r="I4" s="113"/>
      <c r="J4" s="113"/>
      <c r="K4" s="116"/>
      <c r="L4" s="116"/>
      <c r="M4" s="116"/>
    </row>
    <row r="5" spans="1:14" ht="29.25" customHeight="1" x14ac:dyDescent="0.2">
      <c r="C5" s="288" t="s">
        <v>172</v>
      </c>
      <c r="D5" s="293" t="s">
        <v>173</v>
      </c>
      <c r="E5" s="293"/>
      <c r="F5" s="293"/>
      <c r="G5" s="293"/>
      <c r="H5" s="288" t="s">
        <v>174</v>
      </c>
      <c r="I5" s="288" t="s">
        <v>217</v>
      </c>
      <c r="N5" s="112"/>
    </row>
    <row r="6" spans="1:14" ht="16.899999999999999" customHeight="1" x14ac:dyDescent="0.2">
      <c r="C6" s="288"/>
      <c r="D6" s="118" t="s">
        <v>175</v>
      </c>
      <c r="E6" s="119" t="s">
        <v>176</v>
      </c>
      <c r="F6" s="119" t="s">
        <v>177</v>
      </c>
      <c r="G6" s="119" t="s">
        <v>178</v>
      </c>
      <c r="H6" s="288"/>
      <c r="I6" s="288"/>
      <c r="J6" s="120"/>
      <c r="N6" s="112"/>
    </row>
    <row r="7" spans="1:14" ht="28.35" customHeight="1" x14ac:dyDescent="0.2">
      <c r="C7" s="121" t="s">
        <v>201</v>
      </c>
      <c r="D7" s="122">
        <v>2</v>
      </c>
      <c r="E7" s="122">
        <v>1</v>
      </c>
      <c r="F7" s="123">
        <f>'Mão de Obra'!F31:G31</f>
        <v>1149.22</v>
      </c>
      <c r="G7" s="124">
        <f>'Mão de Obra'!H160</f>
        <v>7052.1</v>
      </c>
      <c r="H7" s="125">
        <f>G7*E7</f>
        <v>7052.1</v>
      </c>
      <c r="I7" s="125">
        <f>ROUND(H7*6,2)</f>
        <v>42312.6</v>
      </c>
      <c r="J7" s="126"/>
      <c r="N7" s="112"/>
    </row>
    <row r="8" spans="1:14" ht="28.35" customHeight="1" x14ac:dyDescent="0.2">
      <c r="C8" s="121" t="s">
        <v>202</v>
      </c>
      <c r="D8" s="122">
        <v>2</v>
      </c>
      <c r="E8" s="122">
        <v>1</v>
      </c>
      <c r="F8" s="123">
        <f>'Mão de Obra'!H31</f>
        <v>1149.22</v>
      </c>
      <c r="G8" s="124">
        <f>'Mão de Obra'!H161</f>
        <v>8379.2999999999993</v>
      </c>
      <c r="H8" s="125">
        <f t="shared" ref="H8" si="0">G8*E8</f>
        <v>8379.2999999999993</v>
      </c>
      <c r="I8" s="125">
        <f>ROUND(H8*6,2)</f>
        <v>50275.8</v>
      </c>
      <c r="J8" s="126"/>
      <c r="N8" s="112"/>
    </row>
    <row r="9" spans="1:14" s="113" customFormat="1" ht="28.35" customHeight="1" x14ac:dyDescent="0.2">
      <c r="C9" s="288" t="s">
        <v>59</v>
      </c>
      <c r="D9" s="288"/>
      <c r="E9" s="288"/>
      <c r="F9" s="288"/>
      <c r="G9" s="288"/>
      <c r="H9" s="127">
        <f>SUM(H7:H8)</f>
        <v>15431.4</v>
      </c>
      <c r="I9" s="128">
        <f>SUM(I7:I8)</f>
        <v>92588.4</v>
      </c>
      <c r="J9" s="129"/>
    </row>
    <row r="11" spans="1:14" ht="22.35" customHeight="1" x14ac:dyDescent="0.2">
      <c r="C11" s="130" t="s">
        <v>179</v>
      </c>
      <c r="D11" s="131"/>
      <c r="E11" s="131"/>
      <c r="F11" s="131"/>
      <c r="G11" s="131"/>
      <c r="H11" s="289">
        <f>H9</f>
        <v>15431.4</v>
      </c>
      <c r="I11" s="289"/>
      <c r="J11" s="129"/>
      <c r="N11" s="112"/>
    </row>
    <row r="12" spans="1:14" ht="22.35" customHeight="1" x14ac:dyDescent="0.2">
      <c r="C12" s="130" t="s">
        <v>205</v>
      </c>
      <c r="D12" s="131"/>
      <c r="E12" s="131"/>
      <c r="F12" s="131"/>
      <c r="G12" s="131"/>
      <c r="H12" s="289">
        <f>I9</f>
        <v>92588.4</v>
      </c>
      <c r="I12" s="289"/>
      <c r="J12" s="129"/>
      <c r="K12" s="126"/>
      <c r="N12" s="112"/>
    </row>
    <row r="13" spans="1:14" ht="15" customHeight="1" x14ac:dyDescent="0.2">
      <c r="L13" s="132"/>
    </row>
    <row r="14" spans="1:14" ht="15" customHeight="1" x14ac:dyDescent="0.2">
      <c r="C14" s="129"/>
      <c r="D14" s="126"/>
      <c r="E14" s="126"/>
      <c r="F14" s="126"/>
      <c r="G14" s="126"/>
      <c r="H14" s="126"/>
      <c r="I14" s="126"/>
      <c r="J14" s="126"/>
      <c r="K14" s="133"/>
      <c r="L14" s="134"/>
    </row>
    <row r="15" spans="1:14" ht="15" customHeight="1" x14ac:dyDescent="0.2">
      <c r="C15" s="290" t="s">
        <v>180</v>
      </c>
      <c r="D15" s="290"/>
      <c r="E15" s="290"/>
      <c r="F15" s="290"/>
      <c r="G15" s="290"/>
      <c r="H15" s="290"/>
      <c r="I15" s="290"/>
      <c r="L15" s="132"/>
    </row>
    <row r="16" spans="1:14" s="138" customFormat="1" ht="19.7" customHeight="1" x14ac:dyDescent="0.2">
      <c r="C16" s="290"/>
      <c r="D16" s="290"/>
      <c r="E16" s="290"/>
      <c r="F16" s="290"/>
      <c r="G16" s="290"/>
      <c r="H16" s="290"/>
      <c r="I16" s="290"/>
      <c r="J16" s="135"/>
      <c r="K16" s="136"/>
      <c r="L16" s="136"/>
      <c r="M16" s="137"/>
    </row>
  </sheetData>
  <sheetProtection selectLockedCells="1" selectUnlockedCells="1"/>
  <mergeCells count="10">
    <mergeCell ref="C9:G9"/>
    <mergeCell ref="H11:I11"/>
    <mergeCell ref="H12:I12"/>
    <mergeCell ref="C15:I16"/>
    <mergeCell ref="C1:I1"/>
    <mergeCell ref="C2:I2"/>
    <mergeCell ref="C5:C6"/>
    <mergeCell ref="D5:G5"/>
    <mergeCell ref="H5:H6"/>
    <mergeCell ref="I5:I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firstPageNumber="51" fitToHeight="0" orientation="landscape" useFirstPageNumber="1" r:id="rId1"/>
  <headerFooter alignWithMargins="0"/>
  <rowBreaks count="4" manualBreakCount="4">
    <brk id="18" max="16383" man="1"/>
    <brk id="32" max="16383" man="1"/>
    <brk id="73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Insumos</vt:lpstr>
      <vt:lpstr>Mão de Obra</vt:lpstr>
      <vt:lpstr>Resumo</vt:lpstr>
      <vt:lpstr>Insumos!Area_de_impressao</vt:lpstr>
      <vt:lpstr>'Mão de Obra'!Area_de_impressao</vt:lpstr>
      <vt:lpstr>Resumo!Area_de_impressao</vt:lpstr>
      <vt:lpstr>Insumos!Excel_BuiltIn_Print_Area_1</vt:lpstr>
      <vt:lpstr>'Mão de Obra'!Excel_BuiltIn_Print_Area_2_1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Inácia Lopes</dc:creator>
  <cp:lastModifiedBy>Bruno de Jesus Viana</cp:lastModifiedBy>
  <cp:lastPrinted>2019-06-04T21:24:18Z</cp:lastPrinted>
  <dcterms:created xsi:type="dcterms:W3CDTF">2014-09-18T12:27:42Z</dcterms:created>
  <dcterms:modified xsi:type="dcterms:W3CDTF">2019-06-04T21:25:10Z</dcterms:modified>
</cp:coreProperties>
</file>